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ran\Desktop\"/>
    </mc:Choice>
  </mc:AlternateContent>
  <xr:revisionPtr revIDLastSave="0" documentId="8_{17966CF6-5C0D-4390-9CE3-B8298AFDEF22}" xr6:coauthVersionLast="36" xr6:coauthVersionMax="36" xr10:uidLastSave="{00000000-0000-0000-0000-000000000000}"/>
  <bookViews>
    <workbookView xWindow="0" yWindow="0" windowWidth="28800" windowHeight="11925" xr2:uid="{F1750C47-F5D4-4CD3-9BBB-EB48988F349E}"/>
  </bookViews>
  <sheets>
    <sheet name="Gris" sheetId="1" r:id="rId1"/>
    <sheet name="Storboskap" sheetId="2" r:id="rId2"/>
    <sheet name="Kalv" sheetId="3" r:id="rId3"/>
    <sheet name="Får och lamm" sheetId="4" r:id="rId4"/>
    <sheet name="Häst" sheetId="5" r:id="rId5"/>
    <sheet name="Årshistorik" sheetId="6" r:id="rId6"/>
  </sheets>
  <externalReferences>
    <externalReference r:id="rId7"/>
  </externalReferences>
  <definedNames>
    <definedName name="rngAvbugga">[1]Instruktion!$K$9</definedName>
    <definedName name="rngMedgivande">[1]Instruktion!$K$12</definedName>
    <definedName name="rngTidstämpel">[1]Instruktion!#REF!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5" l="1"/>
  <c r="O12" i="5"/>
  <c r="Q12" i="5" s="1"/>
  <c r="N12" i="5"/>
  <c r="M12" i="5"/>
  <c r="L12" i="5"/>
  <c r="K12" i="5"/>
  <c r="J12" i="5"/>
  <c r="I12" i="5"/>
  <c r="H12" i="5"/>
  <c r="P12" i="5" s="1"/>
  <c r="G12" i="5"/>
  <c r="F12" i="5"/>
  <c r="E12" i="5"/>
  <c r="D12" i="5"/>
  <c r="C12" i="5"/>
  <c r="B12" i="5"/>
  <c r="R29" i="4"/>
  <c r="Q29" i="4"/>
  <c r="O29" i="4"/>
  <c r="N29" i="4"/>
  <c r="M29" i="4"/>
  <c r="P29" i="4" s="1"/>
  <c r="L29" i="4"/>
  <c r="K29" i="4"/>
  <c r="J29" i="4"/>
  <c r="I29" i="4"/>
  <c r="H29" i="4"/>
  <c r="G29" i="4"/>
  <c r="F29" i="4"/>
  <c r="E29" i="4"/>
  <c r="D29" i="4"/>
  <c r="C29" i="4"/>
  <c r="B29" i="4"/>
  <c r="R24" i="3"/>
  <c r="O24" i="3"/>
  <c r="Q24" i="3" s="1"/>
  <c r="N24" i="3"/>
  <c r="M24" i="3"/>
  <c r="P24" i="3" s="1"/>
  <c r="L24" i="3"/>
  <c r="K24" i="3"/>
  <c r="J24" i="3"/>
  <c r="I24" i="3"/>
  <c r="H24" i="3"/>
  <c r="G24" i="3"/>
  <c r="F24" i="3"/>
  <c r="E24" i="3"/>
  <c r="D24" i="3"/>
  <c r="C24" i="3"/>
  <c r="B24" i="3"/>
  <c r="R29" i="2"/>
  <c r="O29" i="2"/>
  <c r="Q29" i="2" s="1"/>
  <c r="N29" i="2"/>
  <c r="M29" i="2"/>
  <c r="P29" i="2" s="1"/>
  <c r="L29" i="2"/>
  <c r="K29" i="2"/>
  <c r="J29" i="2"/>
  <c r="I29" i="2"/>
  <c r="H29" i="2"/>
  <c r="G29" i="2"/>
  <c r="F29" i="2"/>
  <c r="E29" i="2"/>
  <c r="D29" i="2"/>
  <c r="C29" i="2"/>
  <c r="B29" i="2"/>
  <c r="R19" i="1"/>
  <c r="O19" i="1"/>
  <c r="Q19" i="1" s="1"/>
  <c r="N19" i="1"/>
  <c r="M19" i="1"/>
  <c r="P19" i="1" s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<sst xmlns="http://schemas.openxmlformats.org/spreadsheetml/2006/main" count="230" uniqueCount="91">
  <si>
    <t>Antal slaktade grisar, uppdaterad kvartal 3 2024</t>
  </si>
  <si>
    <t>Anläggning</t>
  </si>
  <si>
    <t>2019</t>
  </si>
  <si>
    <t>2020</t>
  </si>
  <si>
    <t>2021</t>
  </si>
  <si>
    <t>2022</t>
  </si>
  <si>
    <t>Kvartal 1 2023</t>
  </si>
  <si>
    <t>Kvartal 2 2023</t>
  </si>
  <si>
    <t>Kvartal 3 2023</t>
  </si>
  <si>
    <t>Kvartal 4 2023</t>
  </si>
  <si>
    <t>2023</t>
  </si>
  <si>
    <t>Kvartal 1 2024</t>
  </si>
  <si>
    <t>Kvartal 2 2024</t>
  </si>
  <si>
    <t>Kvartal 3 2024</t>
  </si>
  <si>
    <t>Kvartal 4 2024</t>
  </si>
  <si>
    <t>2024</t>
  </si>
  <si>
    <t>Förändring kv 3 från 2023-2024</t>
  </si>
  <si>
    <t>Förändring kv 1-3 från 2023–2024</t>
  </si>
  <si>
    <t>Procentuell andel 2024*</t>
  </si>
  <si>
    <t>AB Ginsten Slakteri</t>
  </si>
  <si>
    <t>Alviksgårdens Lantbruks AB</t>
  </si>
  <si>
    <t>Brantestads Gårdsslakteri</t>
  </si>
  <si>
    <t>Dahlbergs Slakteri AB</t>
  </si>
  <si>
    <t>Ickholmens slakteri</t>
  </si>
  <si>
    <t>KLS Ugglarps AB Dalsjöfors</t>
  </si>
  <si>
    <t>KLS Ugglarps AB Kalmar</t>
  </si>
  <si>
    <t>KLS Ugglarps AB, Hörby</t>
  </si>
  <si>
    <t>KLS Ugglarps AB, Trelleborg</t>
  </si>
  <si>
    <t>Lindells Gårdsslakteri AB</t>
  </si>
  <si>
    <t>Lövsta Kött AB</t>
  </si>
  <si>
    <t>Protos AB</t>
  </si>
  <si>
    <t>Ragnar Johanssons Kött o Chark AB</t>
  </si>
  <si>
    <t>Scan, Kristianstad</t>
  </si>
  <si>
    <t>Skövde Slakteri</t>
  </si>
  <si>
    <t>Övriga</t>
  </si>
  <si>
    <t>Total svensk slakt</t>
  </si>
  <si>
    <t>Tabellen visar 15 av de 41 slakterier som har slaktat grisar under 2024. Källa: Jordbruksverket</t>
  </si>
  <si>
    <t>Sammanställningen utgår från slakteriernas veckorapportering till Jordbruksverket och visar antal slaktade djur som godkänts som livsmedel</t>
  </si>
  <si>
    <t>Ingående kategorier: Samtliga djur av djurslaget svin inklusive suggor och galtar</t>
  </si>
  <si>
    <t>*Den procentuella andelen av slakten utgår från anläggning, inte företag. Det förekommer att slakteriföretag legoslaktar åt varandra.</t>
  </si>
  <si>
    <t>Antal slaktade storboskap, uppdaterad kvartal 3 2024</t>
  </si>
  <si>
    <t>Almunge Kött</t>
  </si>
  <si>
    <t>Bassholma slakteri AB</t>
  </si>
  <si>
    <t>Bjursunds Slakteri AB</t>
  </si>
  <si>
    <t>David Karlgrens Slakteri AB</t>
  </si>
  <si>
    <t>Delsbo Slakteri</t>
  </si>
  <si>
    <t>Ello i Lammhult AB</t>
  </si>
  <si>
    <t>Faringe Kött &amp; Slakt AB</t>
  </si>
  <si>
    <t>Jämtlandsgårdens Livsmedel AB</t>
  </si>
  <si>
    <t>Mostorps Gård AB</t>
  </si>
  <si>
    <t>Norrbottengården Slakteri AB</t>
  </si>
  <si>
    <t>Nyhléns Hugosons AB - Ullånger</t>
  </si>
  <si>
    <t>Närkes Slakteri i Gällersta AB</t>
  </si>
  <si>
    <t>PP Slakt AB</t>
  </si>
  <si>
    <t>Scan, Linköping</t>
  </si>
  <si>
    <t>Skånska Vilt AB</t>
  </si>
  <si>
    <t>Varekils Slakteri AB</t>
  </si>
  <si>
    <t>Tabellen visar 25 av de 60 slakterier som har slaktat storboskap under 2024. Källa: Jordbruksverket</t>
  </si>
  <si>
    <t>Ingående kategorier: Samtliga nötkreatur utom späd-, göd-, och mellankalv</t>
  </si>
  <si>
    <t>Antal slaktade kalvar, uppdaterad kvartal 3 2024</t>
  </si>
  <si>
    <t>─</t>
  </si>
  <si>
    <t>Bäsinge Slakteri AB</t>
  </si>
  <si>
    <t>–</t>
  </si>
  <si>
    <t>-</t>
  </si>
  <si>
    <t>Roslagens Slakt och Chark AB</t>
  </si>
  <si>
    <t>Tavastboda gårdsslakteri AB</t>
  </si>
  <si>
    <t>Tabellen visar 20 av de 39 slakterier som har slaktat kalvar under 2024. Källa: Jordbruksverket</t>
  </si>
  <si>
    <t>Ingående kategorier: späd-, göd-, och mellankalv</t>
  </si>
  <si>
    <t>Antal slaktade får och lamm, uppdaterad kvartal 3 2024</t>
  </si>
  <si>
    <t>Appeltorps Lamm o Vilt</t>
  </si>
  <si>
    <t>Ljungskile Kött AB</t>
  </si>
  <si>
    <t>Lundsbols slakteri AB</t>
  </si>
  <si>
    <t>Skara Lammslakteri AB</t>
  </si>
  <si>
    <t>Sörby Slakteri</t>
  </si>
  <si>
    <t>Sörgården Gårdsbutik&amp;slakteri</t>
  </si>
  <si>
    <t>Vikbolands Kött</t>
  </si>
  <si>
    <t>Västerslät</t>
  </si>
  <si>
    <t>Öströö Fårfarm AB</t>
  </si>
  <si>
    <t>Tabellen visar 25 av de 55 slakterier som har slaktat får och lamm under 2024. Källa: Jordbruksverket</t>
  </si>
  <si>
    <t>Ingående kategorier: Samtliga får och lamm</t>
  </si>
  <si>
    <t>Antal slaktade hästar, uppdaterad kvartal 3 2024</t>
  </si>
  <si>
    <t>Tabellen visar 8 av de 11 slakterier som har slaktat hästar under 2024. Källa: Jordbruksverket</t>
  </si>
  <si>
    <t>Ingående kategorier: Samtliga hästar</t>
  </si>
  <si>
    <t>Godkänd slakt, antal djur per år</t>
  </si>
  <si>
    <t>År</t>
  </si>
  <si>
    <t>Svin</t>
  </si>
  <si>
    <t>Storboskap</t>
  </si>
  <si>
    <t>Kalv</t>
  </si>
  <si>
    <t>Får</t>
  </si>
  <si>
    <t>Get</t>
  </si>
  <si>
    <t>Häst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</si>
</sst>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%"/>
    <numFmt numFmtId="165" formatCode="\+0%;\-0%"/>
    <numFmt numFmtId="166" formatCode="#,#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0" fillId="0" borderId="0" xfId="0" applyFont="1" applyFill="1"/>
    <xf numFmtId="3" fontId="0" fillId="0" borderId="0" xfId="0" applyNumberFormat="1" applyFont="1" applyFill="1"/>
    <xf numFmtId="3" fontId="0" fillId="3" borderId="0" xfId="0" applyNumberFormat="1" applyFont="1" applyFill="1"/>
    <xf numFmtId="3" fontId="0" fillId="4" borderId="0" xfId="0" applyNumberFormat="1" applyFont="1" applyFill="1"/>
    <xf numFmtId="165" fontId="0" fillId="0" borderId="0" xfId="0" applyNumberFormat="1" applyFont="1" applyFill="1" applyAlignment="1">
      <alignment horizontal="right"/>
    </xf>
    <xf numFmtId="9" fontId="0" fillId="0" borderId="0" xfId="0" applyNumberFormat="1" applyFont="1" applyFill="1"/>
    <xf numFmtId="166" fontId="3" fillId="0" borderId="0" xfId="0" applyNumberFormat="1" applyFont="1"/>
    <xf numFmtId="3" fontId="0" fillId="0" borderId="0" xfId="0" applyNumberFormat="1"/>
    <xf numFmtId="165" fontId="0" fillId="0" borderId="0" xfId="0" applyNumberFormat="1"/>
    <xf numFmtId="9" fontId="0" fillId="0" borderId="0" xfId="0" applyNumberFormat="1"/>
    <xf numFmtId="3" fontId="0" fillId="0" borderId="0" xfId="0" applyNumberFormat="1" applyFont="1"/>
    <xf numFmtId="3" fontId="0" fillId="4" borderId="0" xfId="0" applyNumberFormat="1" applyFill="1"/>
    <xf numFmtId="165" fontId="0" fillId="0" borderId="0" xfId="0" applyNumberFormat="1" applyFont="1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/>
  </cellXfs>
  <cellStyles count="2">
    <cellStyle name="Normal" xfId="0" builtinId="0"/>
    <cellStyle name="Procent" xfId="1" builtinId="5"/>
  </cellStyles>
  <dxfs count="20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\+0%;\-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5" formatCode="\+0%;\-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\+0%;\-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EFEFE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left/>
        <right/>
        <top style="thin">
          <color theme="9" tint="0.59996337778862885"/>
        </top>
        <bottom style="thin">
          <color theme="9" tint="0.59996337778862885"/>
        </bottom>
        <vertical/>
        <horizontal style="thin">
          <color theme="9" tint="0.59996337778862885"/>
        </horizontal>
      </border>
    </dxf>
    <dxf>
      <fill>
        <patternFill>
          <bgColor theme="9" tint="0.79998168889431442"/>
        </patternFill>
      </fill>
      <border diagonalUp="0" diagonalDown="0">
        <left/>
        <right/>
        <top style="thin">
          <color theme="9" tint="0.59996337778862885"/>
        </top>
        <bottom style="thin">
          <color theme="9" tint="0.59996337778862885"/>
        </bottom>
        <vertical/>
        <horizontal style="thin">
          <color theme="9" tint="0.59996337778862885"/>
        </horizontal>
      </border>
    </dxf>
    <dxf>
      <font>
        <b/>
        <color theme="1"/>
      </font>
      <border>
        <right/>
      </border>
    </dxf>
    <dxf>
      <font>
        <b/>
        <color theme="1"/>
      </font>
    </dxf>
    <dxf>
      <font>
        <b/>
        <color theme="1"/>
      </font>
      <border>
        <left/>
        <right/>
        <top style="double">
          <color auto="1"/>
        </top>
        <bottom style="medium">
          <color auto="1"/>
        </bottom>
        <vertical/>
      </border>
    </dxf>
    <dxf>
      <font>
        <b/>
        <color theme="1"/>
      </font>
      <border>
        <left/>
        <right/>
        <top style="medium">
          <color auto="1"/>
        </top>
        <bottom style="medium">
          <color auto="1"/>
        </bottom>
        <vertical/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</dxfs>
  <tableStyles count="1" defaultTableStyle="TableStyleMedium2" defaultPivotStyle="PivotStyleLight16">
    <tableStyle name="Kvartalsstatistik" pivot="0" count="9" xr9:uid="{00000000-0011-0000-FFFF-FFFF00000000}">
      <tableStyleElement type="wholeTable" dxfId="200"/>
      <tableStyleElement type="headerRow" dxfId="199"/>
      <tableStyleElement type="totalRow" dxfId="198"/>
      <tableStyleElement type="firstColumn" dxfId="197"/>
      <tableStyleElement type="lastColumn" dxfId="196"/>
      <tableStyleElement type="firstRowStripe" dxfId="195"/>
      <tableStyleElement type="secondRowStripe" dxfId="194"/>
      <tableStyleElement type="firstColumnStripe" dxfId="193"/>
      <tableStyleElement type="secondColumnStripe" dxfId="1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nhet\Kontrollenheter\Kontrollomr&#229;den\K&#246;ttklassning\Planering,%20uppf&#246;ljning%20och%20statistik\Statistik\Kvartalsstatistik\2024\Kvartalsstatistik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DAWA-underlag"/>
      <sheetName val="Urval"/>
      <sheetName val="Äldre underlag"/>
      <sheetName val="Gris"/>
      <sheetName val="Storboskap"/>
      <sheetName val="Kalv"/>
      <sheetName val="Får och lamm"/>
      <sheetName val="Get"/>
      <sheetName val="Häst"/>
      <sheetName val="Årshistorik"/>
      <sheetName val="Diagram"/>
    </sheetNames>
    <sheetDataSet>
      <sheetData sheetId="0">
        <row r="12">
          <cell r="K12" t="str">
            <v>Medger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6ADE80-0DC4-439B-A190-DE7EEB3CB7D5}" name="Tabell_Gris" displayName="Tabell_Gris" ref="A2:R19" totalsRowCount="1">
  <autoFilter ref="A2:R1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8D975B62-F98D-4DA3-9C88-ACB6A3AABD65}" name="Anläggning" totalsRowLabel="Total svensk slakt" dataDxfId="191"/>
    <tableColumn id="19" xr3:uid="{70351FC7-343B-4E76-A5EE-29AB24642047}" name="2019" totalsRowFunction="sum" dataDxfId="190" totalsRowDxfId="189"/>
    <tableColumn id="20" xr3:uid="{9ACA8276-0033-4195-961D-122F1FE5029A}" name="2020" totalsRowFunction="sum" dataDxfId="188" totalsRowDxfId="187"/>
    <tableColumn id="21" xr3:uid="{4FE15B4A-CC5F-4AAA-9332-E244A24E54B1}" name="2021" totalsRowFunction="sum" dataDxfId="186" totalsRowDxfId="185"/>
    <tableColumn id="22" xr3:uid="{7F57AB14-ECC0-4411-ADB6-CC04C53DF7B8}" name="2022" totalsRowFunction="sum" dataDxfId="184" totalsRowDxfId="183"/>
    <tableColumn id="2" xr3:uid="{55441839-1CA9-46B7-AA94-C3657685789D}" name="Kvartal 1 2023" totalsRowFunction="sum" dataDxfId="182" totalsRowDxfId="181"/>
    <tableColumn id="3" xr3:uid="{7E4C4DB7-96F3-45E1-B43B-3D02CBC66501}" name="Kvartal 2 2023" totalsRowFunction="sum" dataDxfId="180" totalsRowDxfId="179"/>
    <tableColumn id="4" xr3:uid="{71BF9E21-3B1B-4C07-ABE8-BDD0F963F992}" name="Kvartal 3 2023" totalsRowFunction="sum" dataDxfId="178" totalsRowDxfId="177"/>
    <tableColumn id="5" xr3:uid="{DECE14FE-310E-40AF-82F1-19722D0A47AA}" name="Kvartal 4 2023" totalsRowFunction="sum" dataDxfId="176" totalsRowDxfId="175"/>
    <tableColumn id="6" xr3:uid="{DAD70F1E-181A-4B72-905C-5E30B154AF40}" name="2023" totalsRowFunction="sum" dataDxfId="174" totalsRowDxfId="173"/>
    <tableColumn id="7" xr3:uid="{A7E11A2C-9B35-4643-99D5-E3A3D1B62853}" name="Kvartal 1 2024" totalsRowFunction="sum" dataDxfId="172" totalsRowDxfId="171"/>
    <tableColumn id="8" xr3:uid="{CDF6039D-1AFF-405C-96CA-B4878F6178DA}" name="Kvartal 2 2024" totalsRowFunction="sum" dataDxfId="170" totalsRowDxfId="169"/>
    <tableColumn id="9" xr3:uid="{5EBE05DB-AD5D-44D0-BADB-D6BA0391BBAA}" name="Kvartal 3 2024" totalsRowFunction="sum" dataDxfId="168" totalsRowDxfId="167"/>
    <tableColumn id="10" xr3:uid="{CF69C1AB-3161-40E6-BC87-43FAF5AF437E}" name="Kvartal 4 2024" totalsRowFunction="sum" dataDxfId="166" totalsRowDxfId="165"/>
    <tableColumn id="11" xr3:uid="{7747C6B6-03E0-45C6-A43E-84751F945FD1}" name="2024" totalsRowFunction="sum" dataDxfId="164" totalsRowDxfId="163"/>
    <tableColumn id="12" xr3:uid="{8B015608-3577-4891-96B5-76447CCF6C55}" name="Förändring kv 3 från 2023-2024" totalsRowFunction="custom" dataDxfId="162" totalsRowDxfId="161">
      <totalsRowFormula>M19/H19-1</totalsRowFormula>
    </tableColumn>
    <tableColumn id="13" xr3:uid="{6511EFBE-EBB9-48C0-B3D8-7C18583B9E18}" name="Förändring kv 1-3 från 2023–2024" totalsRowFunction="custom" dataDxfId="160" totalsRowDxfId="159">
      <totalsRowFormula>O19/SUM(F19:H19)-1</totalsRowFormula>
    </tableColumn>
    <tableColumn id="14" xr3:uid="{B69672DB-30B0-4D33-B6C8-F193212CB767}" name="Procentuell andel 2024*" totalsRowFunction="sum" dataDxfId="158" totalsRowDxfId="157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grisar" altTextSummary="Tabellen visar de större slakterierna kvartalsvis i år och förra året samt årsvis ytterligare fyra år tillbak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19A94F-B5B7-42FA-BEC3-CD1DD7CA5117}" name="Tabell_Storb" displayName="Tabell_Storb" ref="A2:R29" totalsRowCount="1" headerRowDxfId="156" totalsRowDxfId="155">
  <autoFilter ref="A2:R28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C2887CC1-4BAC-49A0-A9CB-2C4A9A85F7EE}" name="Anläggning" totalsRowLabel="Total svensk slakt" dataDxfId="154"/>
    <tableColumn id="19" xr3:uid="{034CDE9B-D63E-4F32-B0E0-518E90A896AE}" name="2019" totalsRowFunction="sum" dataDxfId="153" totalsRowDxfId="152"/>
    <tableColumn id="20" xr3:uid="{47DE287A-D134-4FEA-A041-3ED7BC77375A}" name="2020" totalsRowFunction="sum" dataDxfId="151" totalsRowDxfId="150"/>
    <tableColumn id="21" xr3:uid="{FF0AAA6A-7799-480D-9581-D98E17D10B37}" name="2021" totalsRowFunction="sum" dataDxfId="149" totalsRowDxfId="148"/>
    <tableColumn id="22" xr3:uid="{EC56320D-2FDB-4B40-A75D-586596E9242F}" name="2022" totalsRowFunction="sum" dataDxfId="147" totalsRowDxfId="146"/>
    <tableColumn id="2" xr3:uid="{E0FE4CE9-A7B2-46B5-93FA-1DA18D1C7AAB}" name="Kvartal 1 2023" totalsRowFunction="sum" dataDxfId="145" totalsRowDxfId="144"/>
    <tableColumn id="3" xr3:uid="{4BBF0139-B30F-454B-A838-0C80F95CFE8A}" name="Kvartal 2 2023" totalsRowFunction="sum" dataDxfId="143" totalsRowDxfId="142"/>
    <tableColumn id="4" xr3:uid="{16FB7149-BD36-48EA-B72A-9637B0D5709B}" name="Kvartal 3 2023" totalsRowFunction="sum" dataDxfId="141" totalsRowDxfId="140"/>
    <tableColumn id="5" xr3:uid="{C2EDDCBB-BE18-448A-BCAC-07D3A9B41146}" name="Kvartal 4 2023" totalsRowFunction="sum" dataDxfId="139" totalsRowDxfId="138"/>
    <tableColumn id="6" xr3:uid="{BC7B271B-D2FF-4C55-BA15-903E74D8B3AB}" name="2023" totalsRowFunction="sum" dataDxfId="137" totalsRowDxfId="136"/>
    <tableColumn id="7" xr3:uid="{AC8C28C8-1C7C-4E87-8806-F05C727C1C79}" name="Kvartal 1 2024" totalsRowFunction="sum" dataDxfId="135" totalsRowDxfId="134"/>
    <tableColumn id="8" xr3:uid="{89B5B822-5B30-4E3D-8416-E18D79995240}" name="Kvartal 2 2024" totalsRowFunction="sum" dataDxfId="133" totalsRowDxfId="132"/>
    <tableColumn id="9" xr3:uid="{827C1343-1639-4D05-9CFA-20BB08252807}" name="Kvartal 3 2024" totalsRowFunction="sum" dataDxfId="131" totalsRowDxfId="130"/>
    <tableColumn id="10" xr3:uid="{F11C9817-06EF-4876-A2E7-FE51507F9050}" name="Kvartal 4 2024" totalsRowFunction="sum" dataDxfId="129" totalsRowDxfId="128"/>
    <tableColumn id="11" xr3:uid="{F04B5C79-A2E0-4F9C-AE0B-706776195A52}" name="2024" totalsRowFunction="sum" dataDxfId="127" totalsRowDxfId="126"/>
    <tableColumn id="12" xr3:uid="{F67B9F23-E8AC-48CB-8C69-1DEFBDC1DB5F}" name="Förändring kv 3 från 2023-2024" totalsRowFunction="custom" dataDxfId="125" totalsRowDxfId="124">
      <totalsRowFormula>M29/H29-1</totalsRowFormula>
    </tableColumn>
    <tableColumn id="13" xr3:uid="{BD31F5B3-ED34-405B-AF7C-17D412B57AB9}" name="Förändring kv 1-3 från 2023–2024" totalsRowFunction="custom" dataDxfId="123" totalsRowDxfId="122">
      <totalsRowFormula>O29/SUM(F29:H29)-1</totalsRowFormula>
    </tableColumn>
    <tableColumn id="14" xr3:uid="{893DD4C6-0830-46B1-9CFF-4306F4FC8631}" name="Procentuell andel 2024*" totalsRowFunction="sum" dataDxfId="121" totalsRowDxfId="120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et slaktade storboskap" altTextSummary="Tabellen visar de större slakterierna kvartalsvis i år och förra året samt årsvis ytterligare fyra år tillbak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D11186-92E1-49F0-BB17-B709710974F4}" name="Tabell_Kalv" displayName="Tabell_Kalv" ref="A2:R24" totalsRowCount="1" headerRowDxfId="119" dataDxfId="118" totalsRowDxfId="117">
  <autoFilter ref="A2:R23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7239BE8B-8D1C-4E2F-9437-452E958E08F2}" name="Anläggning" totalsRowLabel="Total svensk slakt" dataDxfId="116"/>
    <tableColumn id="19" xr3:uid="{929D7F80-CF00-4F86-BDD2-ABEFAB1E414B}" name="2019" totalsRowFunction="sum" dataDxfId="115" totalsRowDxfId="114"/>
    <tableColumn id="20" xr3:uid="{92BBCB8E-ECC4-4104-9051-A640030EC610}" name="2020" totalsRowFunction="sum" dataDxfId="113" totalsRowDxfId="112"/>
    <tableColumn id="21" xr3:uid="{60DEC42C-121D-4C33-BE3B-47BBD5354262}" name="2021" totalsRowFunction="sum" dataDxfId="111" totalsRowDxfId="110"/>
    <tableColumn id="22" xr3:uid="{DA017664-B17E-4B48-AA6E-F7513EE446E6}" name="2022" totalsRowFunction="sum" dataDxfId="109" totalsRowDxfId="108"/>
    <tableColumn id="2" xr3:uid="{D3977CA8-F004-4BED-BE93-A8AC32CC6F4D}" name="Kvartal 1 2023" totalsRowFunction="sum" dataDxfId="107" totalsRowDxfId="106"/>
    <tableColumn id="3" xr3:uid="{9DD8A24C-183D-416C-843F-32BBC4D600C7}" name="Kvartal 2 2023" totalsRowFunction="sum" dataDxfId="105" totalsRowDxfId="104"/>
    <tableColumn id="4" xr3:uid="{A27DCF75-6997-4B64-9A60-536C0092AC5E}" name="Kvartal 3 2023" totalsRowFunction="sum" dataDxfId="103" totalsRowDxfId="102"/>
    <tableColumn id="5" xr3:uid="{611666B5-64EA-42A0-B466-00FE711A8D38}" name="Kvartal 4 2023" totalsRowFunction="sum" dataDxfId="101" totalsRowDxfId="100"/>
    <tableColumn id="6" xr3:uid="{841AD869-28CF-4261-B02A-0F054E25938D}" name="2023" totalsRowFunction="sum" dataDxfId="99" totalsRowDxfId="98"/>
    <tableColumn id="7" xr3:uid="{5EB023B0-902B-48E6-A2F7-5CBD2FA07B25}" name="Kvartal 1 2024" totalsRowFunction="sum" dataDxfId="97" totalsRowDxfId="96"/>
    <tableColumn id="8" xr3:uid="{3C59CB56-7CC6-431C-A4D5-15D2E034C994}" name="Kvartal 2 2024" totalsRowFunction="sum" dataDxfId="95" totalsRowDxfId="94"/>
    <tableColumn id="9" xr3:uid="{380EDAC9-52BA-48BB-8BD3-FC97ED195D95}" name="Kvartal 3 2024" totalsRowFunction="sum" dataDxfId="93" totalsRowDxfId="92"/>
    <tableColumn id="10" xr3:uid="{BAA0B4B5-9420-446D-8178-53AB7E1288EC}" name="Kvartal 4 2024" totalsRowFunction="sum" dataDxfId="91" totalsRowDxfId="90"/>
    <tableColumn id="11" xr3:uid="{C5DD71CB-8CD0-4CF6-B650-77879D435C6D}" name="2024" totalsRowFunction="sum" dataDxfId="89" totalsRowDxfId="88"/>
    <tableColumn id="12" xr3:uid="{9E21CC2C-0AA2-491D-9B2F-F4866910553C}" name="Förändring kv 3 från 2023-2024" totalsRowFunction="custom" dataDxfId="87" totalsRowDxfId="86">
      <totalsRowFormula>M24/H24-1</totalsRowFormula>
    </tableColumn>
    <tableColumn id="13" xr3:uid="{06CA1FA7-B43F-4AB9-A28A-675BE3F7D899}" name="Förändring kv 1-3 från 2023–2024" totalsRowFunction="custom" dataDxfId="85" totalsRowDxfId="84">
      <totalsRowFormula>O24/SUM(F24:H24)-1</totalsRowFormula>
    </tableColumn>
    <tableColumn id="14" xr3:uid="{5A48D9DD-C4D1-4587-B25C-465BB642B7A9}" name="Procentuell andel 2024*" totalsRowFunction="sum" dataDxfId="83" totalsRowDxfId="82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kalvar" altTextSummary="Tabellen visar de större slakterierna kvartalsvis i år och förra året samt årsvis ytterligare fyra år tillbak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87EC50-7F85-4C64-B55E-071D0125F527}" name="Tabell_Får" displayName="Tabell_Får" ref="A2:R29" totalsRowCount="1" headerRowDxfId="81" totalsRowDxfId="80">
  <autoFilter ref="A2:R2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1333EF86-4382-4B0D-956F-C05A1AFBB8B3}" name="Anläggning" totalsRowLabel="Total svensk slakt" dataDxfId="79"/>
    <tableColumn id="19" xr3:uid="{134CBB58-E80C-48AF-A673-3C2F176B23FF}" name="2019" totalsRowFunction="sum" dataDxfId="78" totalsRowDxfId="77"/>
    <tableColumn id="20" xr3:uid="{BD32BA66-6EBB-483F-B37B-1A067AA4A3BB}" name="2020" totalsRowFunction="sum" dataDxfId="76" totalsRowDxfId="75"/>
    <tableColumn id="21" xr3:uid="{521249B6-B718-4AF6-914E-ACE13CC842A7}" name="2021" totalsRowFunction="sum" dataDxfId="74" totalsRowDxfId="73"/>
    <tableColumn id="22" xr3:uid="{5469F0D2-2F83-4C13-9DEE-AABD15CE2ECA}" name="2022" totalsRowFunction="sum" dataDxfId="72" totalsRowDxfId="71"/>
    <tableColumn id="2" xr3:uid="{AB40270A-6EF8-4145-90EC-F9E4EC5F55EA}" name="Kvartal 1 2023" totalsRowFunction="sum" dataDxfId="70" totalsRowDxfId="69"/>
    <tableColumn id="3" xr3:uid="{7EBFFDEF-9A78-432A-92F0-85AE62D5EFEF}" name="Kvartal 2 2023" totalsRowFunction="sum" dataDxfId="68" totalsRowDxfId="67"/>
    <tableColumn id="4" xr3:uid="{C8D26477-0168-4805-830E-055795DF59A8}" name="Kvartal 3 2023" totalsRowFunction="sum" dataDxfId="66" totalsRowDxfId="65"/>
    <tableColumn id="5" xr3:uid="{2A1BCDA2-3EB7-47B9-92F6-9B29686CBA48}" name="Kvartal 4 2023" totalsRowFunction="sum" dataDxfId="64" totalsRowDxfId="63"/>
    <tableColumn id="6" xr3:uid="{6EC17B57-3954-4FDE-BCF7-EF37A467EE93}" name="2023" totalsRowFunction="sum" dataDxfId="62" totalsRowDxfId="61"/>
    <tableColumn id="7" xr3:uid="{01F49598-1CBB-4634-B26C-EF6141D19260}" name="Kvartal 1 2024" totalsRowFunction="sum" dataDxfId="60" totalsRowDxfId="59"/>
    <tableColumn id="8" xr3:uid="{119062CF-1224-41B4-90CF-432AFCADCD81}" name="Kvartal 2 2024" totalsRowFunction="sum" dataDxfId="58" totalsRowDxfId="57"/>
    <tableColumn id="9" xr3:uid="{3A14EC84-439B-441C-BA6B-8C5693D543A8}" name="Kvartal 3 2024" totalsRowFunction="sum" dataDxfId="56" totalsRowDxfId="55"/>
    <tableColumn id="10" xr3:uid="{6C47A8B3-81EC-4CFC-98BB-14CE44E11254}" name="Kvartal 4 2024" totalsRowFunction="sum" dataDxfId="54" totalsRowDxfId="53"/>
    <tableColumn id="11" xr3:uid="{9EBDD4CF-BA73-437F-8DE7-C79AA6905135}" name="2024" totalsRowFunction="sum" dataDxfId="52" totalsRowDxfId="51"/>
    <tableColumn id="12" xr3:uid="{DC0876FB-FD92-424C-AB46-FC69085847E3}" name="Förändring kv 3 från 2023-2024" totalsRowFunction="custom" dataDxfId="50" totalsRowDxfId="49">
      <totalsRowFormula>M29/H29-1</totalsRowFormula>
    </tableColumn>
    <tableColumn id="13" xr3:uid="{C95A4E8D-9398-4C1E-BF3C-B1314CB50BDE}" name="Förändring kv 1-3 från 2023–2024" totalsRowFunction="custom" dataDxfId="48" totalsRowDxfId="47">
      <totalsRowFormula>O29/SUM(F29:H29)-1</totalsRowFormula>
    </tableColumn>
    <tableColumn id="14" xr3:uid="{00369FFA-8CBA-4FA7-9C3E-E89F56F87405}" name="Procentuell andel 2024*" totalsRowFunction="sum" dataDxfId="46" totalsRowDxfId="45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får och lamm" altTextSummary="Tabellen visar de större slakterierna kvartalsvis i år och förra året samt årsvis ytterligare fyra år tillbaka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9841143-4487-45BB-B3CF-0744527A80F3}" name="Tabell_Häst" displayName="Tabell_Häst" ref="A2:R12" totalsRowCount="1" headerRowDxfId="44" dataDxfId="43" totalsRowDxfId="42">
  <autoFilter ref="A2:R1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4A1B711D-F3BA-4FB1-A208-A11881BC95B3}" name="Anläggning" totalsRowLabel="Total svensk slakt" dataDxfId="41"/>
    <tableColumn id="19" xr3:uid="{D4E0E2C6-A188-4170-9ECE-8E4AE8A91ED8}" name="2019" totalsRowFunction="sum" dataDxfId="40" totalsRowDxfId="39"/>
    <tableColumn id="20" xr3:uid="{3FADB3F3-DD87-4EFB-9319-4AE7BCDFBD77}" name="2020" totalsRowFunction="sum" dataDxfId="38" totalsRowDxfId="37"/>
    <tableColumn id="21" xr3:uid="{BF734C33-F44E-4A74-8D4B-FDBC32BB5903}" name="2021" totalsRowFunction="sum" dataDxfId="36" totalsRowDxfId="35"/>
    <tableColumn id="22" xr3:uid="{BE220A87-D6F7-4F63-8162-9F99EC8A173C}" name="2022" totalsRowFunction="sum" dataDxfId="34" totalsRowDxfId="33"/>
    <tableColumn id="2" xr3:uid="{34A678FC-6AB6-42B7-B08F-40AF2C0F6714}" name="Kvartal 1 2023" totalsRowFunction="sum" dataDxfId="32" totalsRowDxfId="31"/>
    <tableColumn id="3" xr3:uid="{9D5346B1-5C04-441D-8C5F-6830659D1D7D}" name="Kvartal 2 2023" totalsRowFunction="sum" dataDxfId="30" totalsRowDxfId="29"/>
    <tableColumn id="4" xr3:uid="{FDD9EB89-BBA3-4751-A128-98CFF1680753}" name="Kvartal 3 2023" totalsRowFunction="sum" dataDxfId="28" totalsRowDxfId="27"/>
    <tableColumn id="5" xr3:uid="{6DB6DE24-CFA8-4E7E-B182-C670104FCD4D}" name="Kvartal 4 2023" totalsRowFunction="sum" dataDxfId="26" totalsRowDxfId="25"/>
    <tableColumn id="6" xr3:uid="{ED205754-7789-45C1-999D-8239A1BC630A}" name="2023" totalsRowFunction="sum" dataDxfId="24" totalsRowDxfId="23"/>
    <tableColumn id="7" xr3:uid="{4BD1432B-5563-486B-B499-8272DC350D46}" name="Kvartal 1 2024" totalsRowFunction="sum" dataDxfId="22" totalsRowDxfId="21"/>
    <tableColumn id="8" xr3:uid="{A64E1721-351C-4996-9D73-AAFD91A054CB}" name="Kvartal 2 2024" totalsRowFunction="sum" dataDxfId="20" totalsRowDxfId="19"/>
    <tableColumn id="9" xr3:uid="{D426950A-8729-4A37-8499-A266DEB9DA5F}" name="Kvartal 3 2024" totalsRowFunction="sum" dataDxfId="18" totalsRowDxfId="17"/>
    <tableColumn id="10" xr3:uid="{C3E44246-3D03-4FC3-82FF-6E4AFC8F24E8}" name="Kvartal 4 2024" totalsRowFunction="sum" dataDxfId="16" totalsRowDxfId="15"/>
    <tableColumn id="11" xr3:uid="{48540E42-FE0A-4BB4-A9F1-4BB2E28D51E6}" name="2024" totalsRowFunction="sum" dataDxfId="14" totalsRowDxfId="13"/>
    <tableColumn id="12" xr3:uid="{970984E4-DE28-410A-98A6-121EDB9915F9}" name="Förändring kv 3 från 2023-2024" totalsRowFunction="custom" dataDxfId="12" totalsRowDxfId="11">
      <totalsRowFormula>M12/H12-1</totalsRowFormula>
    </tableColumn>
    <tableColumn id="13" xr3:uid="{5879C19E-A583-4758-841D-35A036A87F76}" name="Förändring kv 1-3 från 2023–2024" totalsRowFunction="custom" dataDxfId="10" totalsRowDxfId="9">
      <totalsRowFormula>O12/SUM(F12:H12)-1</totalsRowFormula>
    </tableColumn>
    <tableColumn id="14" xr3:uid="{0B9C0592-9C5A-4A64-B544-86C9F5347EF4}" name="Procentuell andel 2024*" totalsRowFunction="sum" dataDxfId="8" totalsRowDxfId="7"/>
  </tableColumns>
  <tableStyleInfo name="Kvartalsstatistik" showFirstColumn="1" showLastColumn="0" showRowStripes="1" showColumnStripes="0"/>
  <extLst>
    <ext xmlns:x14="http://schemas.microsoft.com/office/spreadsheetml/2009/9/main" uri="{504A1905-F514-4f6f-8877-14C23A59335A}">
      <x14:table altText="Tabell över antal slaktade får och lamm" altTextSummary="Tabellen visar de större slakterierna kvartalsvis i år och förra året samt årsvis ytterligare fyra år tillbak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818F95D-5D73-42DB-BC15-65971E7CD763}" name="Tabell_Årshistorik" displayName="Tabell_Årshistorik" ref="A2:G26" totalsRowShown="0">
  <autoFilter ref="A2:G26" xr:uid="{D4AD92F7-E702-42E6-963F-C7916247EA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ref="A3:G16">
    <sortCondition descending="1" ref="A5"/>
  </sortState>
  <tableColumns count="7">
    <tableColumn id="1" xr3:uid="{D55022C5-DB69-4038-A175-D9769F21AE2A}" name="År" dataDxfId="6"/>
    <tableColumn id="2" xr3:uid="{D3CAC33C-CEC5-4EFC-85ED-DF8DFAC820BE}" name="Svin" dataDxfId="5"/>
    <tableColumn id="3" xr3:uid="{717372C6-9F10-4E39-AE81-5B0D1F321A39}" name="Storboskap" dataDxfId="4"/>
    <tableColumn id="4" xr3:uid="{FAE77318-02C1-47FD-83EF-A9810B6FA581}" name="Kalv" dataDxfId="3"/>
    <tableColumn id="5" xr3:uid="{957BA5E6-DFE0-452D-8777-CF6D99A21E85}" name="Får" dataDxfId="2"/>
    <tableColumn id="6" xr3:uid="{0E16CBDF-8D30-4A40-A91F-9F16AA5AF76C}" name="Get" dataDxfId="1"/>
    <tableColumn id="7" xr3:uid="{E82D25A6-6E19-4753-BC09-DB6CFCE8D93C}" name="Häst" dataDxfId="0"/>
  </tableColumns>
  <tableStyleInfo name="Kvartalsstatistik" showFirstColumn="1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07BA-70FA-4703-BD20-13182D741718}">
  <sheetPr codeName="flSvin">
    <pageSetUpPr fitToPage="1"/>
  </sheetPr>
  <dimension ref="A1:S6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27" customWidth="1"/>
    <col min="2" max="2" width="8.85546875" bestFit="1" customWidth="1"/>
    <col min="3" max="3" width="9.42578125" customWidth="1"/>
    <col min="4" max="4" width="9.28515625" customWidth="1"/>
    <col min="5" max="5" width="9.140625" customWidth="1"/>
    <col min="6" max="9" width="8.28515625" customWidth="1"/>
    <col min="10" max="10" width="8.7109375" customWidth="1"/>
    <col min="11" max="14" width="8.28515625" customWidth="1"/>
    <col min="15" max="15" width="9.140625" customWidth="1"/>
    <col min="16" max="16" width="10.7109375" customWidth="1"/>
    <col min="17" max="17" width="11.28515625" customWidth="1"/>
    <col min="18" max="18" width="11.5703125" customWidth="1"/>
  </cols>
  <sheetData>
    <row r="1" spans="1:19" ht="92.25" customHeight="1" x14ac:dyDescent="0.25">
      <c r="A1" s="1" t="s">
        <v>0</v>
      </c>
      <c r="J1" s="1"/>
      <c r="R1" s="2"/>
    </row>
    <row r="2" spans="1:19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  <c r="S2" s="8"/>
    </row>
    <row r="3" spans="1:19" ht="15" customHeight="1" x14ac:dyDescent="0.25">
      <c r="A3" s="9" t="s">
        <v>19</v>
      </c>
      <c r="B3" s="10">
        <v>78675</v>
      </c>
      <c r="C3" s="10">
        <v>78626</v>
      </c>
      <c r="D3" s="10">
        <v>75524</v>
      </c>
      <c r="E3" s="10">
        <v>67029</v>
      </c>
      <c r="F3" s="11">
        <v>15497</v>
      </c>
      <c r="G3" s="11">
        <v>12618</v>
      </c>
      <c r="H3" s="11">
        <v>12134</v>
      </c>
      <c r="I3" s="11">
        <v>11987</v>
      </c>
      <c r="J3" s="10">
        <v>52236</v>
      </c>
      <c r="K3" s="12">
        <v>12964</v>
      </c>
      <c r="L3" s="12">
        <v>12255</v>
      </c>
      <c r="M3" s="12">
        <v>12959</v>
      </c>
      <c r="N3" s="12"/>
      <c r="O3" s="10">
        <v>38178</v>
      </c>
      <c r="P3" s="13">
        <v>6.7990769737926504E-2</v>
      </c>
      <c r="Q3" s="13">
        <v>-5.1454694526572142E-2</v>
      </c>
      <c r="R3" s="14">
        <v>1.9728040553633575E-2</v>
      </c>
      <c r="S3" s="15"/>
    </row>
    <row r="4" spans="1:19" ht="15" customHeight="1" x14ac:dyDescent="0.25">
      <c r="A4" s="9" t="s">
        <v>20</v>
      </c>
      <c r="B4" s="10">
        <v>45584</v>
      </c>
      <c r="C4" s="10">
        <v>50345</v>
      </c>
      <c r="D4" s="10">
        <v>52910</v>
      </c>
      <c r="E4" s="10">
        <v>51544</v>
      </c>
      <c r="F4" s="11">
        <v>13451</v>
      </c>
      <c r="G4" s="11">
        <v>12570</v>
      </c>
      <c r="H4" s="11">
        <v>12713</v>
      </c>
      <c r="I4" s="11">
        <v>12770</v>
      </c>
      <c r="J4" s="10">
        <v>51504</v>
      </c>
      <c r="K4" s="12">
        <v>13792</v>
      </c>
      <c r="L4" s="12">
        <v>12265</v>
      </c>
      <c r="M4" s="12">
        <v>12135</v>
      </c>
      <c r="N4" s="12"/>
      <c r="O4" s="10">
        <v>38192</v>
      </c>
      <c r="P4" s="13">
        <v>-4.5465271769055349E-2</v>
      </c>
      <c r="Q4" s="13">
        <v>-1.3992874477203543E-2</v>
      </c>
      <c r="R4" s="14">
        <v>1.973527489193707E-2</v>
      </c>
    </row>
    <row r="5" spans="1:19" ht="15" customHeight="1" x14ac:dyDescent="0.25">
      <c r="A5" s="9" t="s">
        <v>21</v>
      </c>
      <c r="B5" s="10">
        <v>2360</v>
      </c>
      <c r="C5" s="10">
        <v>2242</v>
      </c>
      <c r="D5" s="10">
        <v>2179</v>
      </c>
      <c r="E5" s="10">
        <v>2226</v>
      </c>
      <c r="F5" s="11">
        <v>348</v>
      </c>
      <c r="G5" s="11">
        <v>417</v>
      </c>
      <c r="H5" s="11">
        <v>396</v>
      </c>
      <c r="I5" s="11">
        <v>469</v>
      </c>
      <c r="J5" s="10">
        <v>1630</v>
      </c>
      <c r="K5" s="12">
        <v>376</v>
      </c>
      <c r="L5" s="12">
        <v>541</v>
      </c>
      <c r="M5" s="12">
        <v>440</v>
      </c>
      <c r="N5" s="12"/>
      <c r="O5" s="10">
        <v>1357</v>
      </c>
      <c r="P5" s="13">
        <v>0.11111111111111116</v>
      </c>
      <c r="Q5" s="13">
        <v>0.1688199827734711</v>
      </c>
      <c r="R5" s="14">
        <v>7.0121407698886171E-4</v>
      </c>
    </row>
    <row r="6" spans="1:19" ht="15" customHeight="1" x14ac:dyDescent="0.25">
      <c r="A6" s="9" t="s">
        <v>22</v>
      </c>
      <c r="B6" s="10">
        <v>201601</v>
      </c>
      <c r="C6" s="10">
        <v>207876</v>
      </c>
      <c r="D6" s="10">
        <v>204679</v>
      </c>
      <c r="E6" s="10">
        <v>210698</v>
      </c>
      <c r="F6" s="11">
        <v>53445</v>
      </c>
      <c r="G6" s="11">
        <v>51794</v>
      </c>
      <c r="H6" s="11">
        <v>51905</v>
      </c>
      <c r="I6" s="11">
        <v>51124</v>
      </c>
      <c r="J6" s="10">
        <v>208268</v>
      </c>
      <c r="K6" s="12">
        <v>54632</v>
      </c>
      <c r="L6" s="12">
        <v>54412</v>
      </c>
      <c r="M6" s="12">
        <v>53781</v>
      </c>
      <c r="N6" s="12"/>
      <c r="O6" s="10">
        <v>162825</v>
      </c>
      <c r="P6" s="13">
        <v>3.6142953472690476E-2</v>
      </c>
      <c r="Q6" s="13">
        <v>3.6151555261416224E-2</v>
      </c>
      <c r="R6" s="14">
        <v>8.4137938161909662E-2</v>
      </c>
    </row>
    <row r="7" spans="1:19" ht="15" customHeight="1" x14ac:dyDescent="0.25">
      <c r="A7" s="9" t="s">
        <v>23</v>
      </c>
      <c r="B7" s="10">
        <v>52434</v>
      </c>
      <c r="C7" s="10">
        <v>47191</v>
      </c>
      <c r="D7" s="10">
        <v>58126</v>
      </c>
      <c r="E7" s="10">
        <v>60953</v>
      </c>
      <c r="F7" s="11">
        <v>14813</v>
      </c>
      <c r="G7" s="11">
        <v>11940</v>
      </c>
      <c r="H7" s="11">
        <v>14694</v>
      </c>
      <c r="I7" s="11">
        <v>15021</v>
      </c>
      <c r="J7" s="10">
        <v>56468</v>
      </c>
      <c r="K7" s="12">
        <v>16031</v>
      </c>
      <c r="L7" s="12">
        <v>14615</v>
      </c>
      <c r="M7" s="12">
        <v>16602</v>
      </c>
      <c r="N7" s="12"/>
      <c r="O7" s="10">
        <v>47248</v>
      </c>
      <c r="P7" s="13">
        <v>0.12984891792568387</v>
      </c>
      <c r="Q7" s="13">
        <v>0.13996187902622625</v>
      </c>
      <c r="R7" s="14">
        <v>2.4414858297398482E-2</v>
      </c>
    </row>
    <row r="8" spans="1:19" ht="15" customHeight="1" x14ac:dyDescent="0.25">
      <c r="A8" s="9" t="s">
        <v>24</v>
      </c>
      <c r="B8" s="10">
        <v>385756</v>
      </c>
      <c r="C8" s="10">
        <v>381212</v>
      </c>
      <c r="D8" s="10">
        <v>396781</v>
      </c>
      <c r="E8" s="10">
        <v>399539</v>
      </c>
      <c r="F8" s="11">
        <v>100108</v>
      </c>
      <c r="G8" s="11">
        <v>90713</v>
      </c>
      <c r="H8" s="11">
        <v>96140</v>
      </c>
      <c r="I8" s="11">
        <v>95276</v>
      </c>
      <c r="J8" s="10">
        <v>382237</v>
      </c>
      <c r="K8" s="12">
        <v>99597</v>
      </c>
      <c r="L8" s="12">
        <v>94941</v>
      </c>
      <c r="M8" s="12">
        <v>98948</v>
      </c>
      <c r="N8" s="12"/>
      <c r="O8" s="10">
        <v>293486</v>
      </c>
      <c r="P8" s="13">
        <v>2.9207405866444658E-2</v>
      </c>
      <c r="Q8" s="13">
        <v>2.2738281508636993E-2</v>
      </c>
      <c r="R8" s="14">
        <v>0.15165550080998752</v>
      </c>
    </row>
    <row r="9" spans="1:19" ht="15" customHeight="1" x14ac:dyDescent="0.25">
      <c r="A9" s="9" t="s">
        <v>25</v>
      </c>
      <c r="B9" s="10">
        <v>422505</v>
      </c>
      <c r="C9" s="10">
        <v>397509</v>
      </c>
      <c r="D9" s="10">
        <v>393976</v>
      </c>
      <c r="E9" s="10">
        <v>399235</v>
      </c>
      <c r="F9" s="11">
        <v>98340</v>
      </c>
      <c r="G9" s="11">
        <v>83405</v>
      </c>
      <c r="H9" s="11">
        <v>92976</v>
      </c>
      <c r="I9" s="11">
        <v>93665</v>
      </c>
      <c r="J9" s="10">
        <v>368386</v>
      </c>
      <c r="K9" s="12">
        <v>99392</v>
      </c>
      <c r="L9" s="12">
        <v>93660</v>
      </c>
      <c r="M9" s="12">
        <v>99755</v>
      </c>
      <c r="N9" s="12"/>
      <c r="O9" s="10">
        <v>292807</v>
      </c>
      <c r="P9" s="13">
        <v>7.2911288934778939E-2</v>
      </c>
      <c r="Q9" s="13">
        <v>6.5834064378041734E-2</v>
      </c>
      <c r="R9" s="14">
        <v>0.15130463540226796</v>
      </c>
    </row>
    <row r="10" spans="1:19" ht="15" customHeight="1" x14ac:dyDescent="0.25">
      <c r="A10" s="9" t="s">
        <v>26</v>
      </c>
      <c r="B10" s="10">
        <v>432</v>
      </c>
      <c r="C10" s="10">
        <v>4779</v>
      </c>
      <c r="D10" s="10">
        <v>8621</v>
      </c>
      <c r="E10" s="10">
        <v>11356</v>
      </c>
      <c r="F10" s="11">
        <v>2120</v>
      </c>
      <c r="G10" s="11">
        <v>1759</v>
      </c>
      <c r="H10" s="11">
        <v>1442</v>
      </c>
      <c r="I10" s="11">
        <v>1443</v>
      </c>
      <c r="J10" s="10">
        <v>6764</v>
      </c>
      <c r="K10" s="12">
        <v>1395</v>
      </c>
      <c r="L10" s="12">
        <v>535</v>
      </c>
      <c r="M10" s="12"/>
      <c r="N10" s="12"/>
      <c r="O10" s="10">
        <v>1930</v>
      </c>
      <c r="P10" s="13">
        <v>-1</v>
      </c>
      <c r="Q10" s="13">
        <v>-0.63728622439391092</v>
      </c>
      <c r="R10" s="14">
        <v>9.9730520898194783E-4</v>
      </c>
    </row>
    <row r="11" spans="1:19" ht="15" customHeight="1" x14ac:dyDescent="0.25">
      <c r="A11" s="9" t="s">
        <v>27</v>
      </c>
      <c r="B11" s="10">
        <v>237062</v>
      </c>
      <c r="C11" s="10">
        <v>249504</v>
      </c>
      <c r="D11" s="10">
        <v>247645</v>
      </c>
      <c r="E11" s="10">
        <v>244006</v>
      </c>
      <c r="F11" s="11">
        <v>61275</v>
      </c>
      <c r="G11" s="11">
        <v>57049</v>
      </c>
      <c r="H11" s="11">
        <v>58968</v>
      </c>
      <c r="I11" s="11">
        <v>55508</v>
      </c>
      <c r="J11" s="10">
        <v>232800</v>
      </c>
      <c r="K11" s="12">
        <v>60933</v>
      </c>
      <c r="L11" s="12">
        <v>56905</v>
      </c>
      <c r="M11" s="12">
        <v>60685</v>
      </c>
      <c r="N11" s="12"/>
      <c r="O11" s="10">
        <v>178523</v>
      </c>
      <c r="P11" s="13">
        <v>2.9117487450820878E-2</v>
      </c>
      <c r="Q11" s="13">
        <v>6.9433476975837571E-3</v>
      </c>
      <c r="R11" s="14">
        <v>9.2249698353929668E-2</v>
      </c>
    </row>
    <row r="12" spans="1:19" ht="15" customHeight="1" x14ac:dyDescent="0.25">
      <c r="A12" s="9" t="s">
        <v>28</v>
      </c>
      <c r="B12" s="10">
        <v>10133</v>
      </c>
      <c r="C12" s="10">
        <v>28220</v>
      </c>
      <c r="D12" s="10">
        <v>35961</v>
      </c>
      <c r="E12" s="10">
        <v>39651</v>
      </c>
      <c r="F12" s="11">
        <v>8748</v>
      </c>
      <c r="G12" s="11">
        <v>8523</v>
      </c>
      <c r="H12" s="11">
        <v>9050</v>
      </c>
      <c r="I12" s="11">
        <v>8825</v>
      </c>
      <c r="J12" s="10">
        <v>35146</v>
      </c>
      <c r="K12" s="12">
        <v>8505</v>
      </c>
      <c r="L12" s="12">
        <v>7818</v>
      </c>
      <c r="M12" s="12">
        <v>8010</v>
      </c>
      <c r="N12" s="12"/>
      <c r="O12" s="10">
        <v>24333</v>
      </c>
      <c r="P12" s="13">
        <v>-0.11491712707182322</v>
      </c>
      <c r="Q12" s="13">
        <v>-7.5529045249040694E-2</v>
      </c>
      <c r="R12" s="14">
        <v>1.2573796709926288E-2</v>
      </c>
    </row>
    <row r="13" spans="1:19" ht="15" customHeight="1" x14ac:dyDescent="0.25">
      <c r="A13" s="9" t="s">
        <v>29</v>
      </c>
      <c r="B13" s="10">
        <v>27241</v>
      </c>
      <c r="C13" s="10">
        <v>31306</v>
      </c>
      <c r="D13" s="10">
        <v>32085</v>
      </c>
      <c r="E13" s="10">
        <v>28556</v>
      </c>
      <c r="F13" s="11">
        <v>6172</v>
      </c>
      <c r="G13" s="11">
        <v>6081</v>
      </c>
      <c r="H13" s="11">
        <v>5435</v>
      </c>
      <c r="I13" s="11">
        <v>6083</v>
      </c>
      <c r="J13" s="10">
        <v>23771</v>
      </c>
      <c r="K13" s="12">
        <v>5983</v>
      </c>
      <c r="L13" s="12">
        <v>5804</v>
      </c>
      <c r="M13" s="12">
        <v>6132</v>
      </c>
      <c r="N13" s="12"/>
      <c r="O13" s="10">
        <v>17919</v>
      </c>
      <c r="P13" s="13">
        <v>0.12824287028518855</v>
      </c>
      <c r="Q13" s="13">
        <v>1.3059701492537323E-2</v>
      </c>
      <c r="R13" s="14">
        <v>9.2594362900246217E-3</v>
      </c>
    </row>
    <row r="14" spans="1:19" ht="15" customHeight="1" x14ac:dyDescent="0.25">
      <c r="A14" s="9" t="s">
        <v>30</v>
      </c>
      <c r="B14" s="10">
        <v>67118</v>
      </c>
      <c r="C14" s="10">
        <v>66805</v>
      </c>
      <c r="D14" s="10">
        <v>70437</v>
      </c>
      <c r="E14" s="10">
        <v>68452</v>
      </c>
      <c r="F14" s="11">
        <v>17354</v>
      </c>
      <c r="G14" s="11">
        <v>15672</v>
      </c>
      <c r="H14" s="11">
        <v>15897</v>
      </c>
      <c r="I14" s="11">
        <v>15172</v>
      </c>
      <c r="J14" s="10">
        <v>64095</v>
      </c>
      <c r="K14" s="12">
        <v>16940</v>
      </c>
      <c r="L14" s="12">
        <v>16642</v>
      </c>
      <c r="M14" s="12">
        <v>16048</v>
      </c>
      <c r="N14" s="12"/>
      <c r="O14" s="10">
        <v>49630</v>
      </c>
      <c r="P14" s="13">
        <v>9.4986475435616669E-3</v>
      </c>
      <c r="Q14" s="13">
        <v>1.4451280583774428E-2</v>
      </c>
      <c r="R14" s="14">
        <v>2.5645729285893298E-2</v>
      </c>
    </row>
    <row r="15" spans="1:19" ht="15" customHeight="1" x14ac:dyDescent="0.25">
      <c r="A15" s="9" t="s">
        <v>31</v>
      </c>
      <c r="B15" s="10">
        <v>2614</v>
      </c>
      <c r="C15" s="10">
        <v>2646</v>
      </c>
      <c r="D15" s="10">
        <v>2365</v>
      </c>
      <c r="E15" s="10">
        <v>2289</v>
      </c>
      <c r="F15" s="11">
        <v>554</v>
      </c>
      <c r="G15" s="11">
        <v>674</v>
      </c>
      <c r="H15" s="11">
        <v>670</v>
      </c>
      <c r="I15" s="11">
        <v>799</v>
      </c>
      <c r="J15" s="10">
        <v>2697</v>
      </c>
      <c r="K15" s="12">
        <v>535</v>
      </c>
      <c r="L15" s="12">
        <v>647</v>
      </c>
      <c r="M15" s="12">
        <v>753</v>
      </c>
      <c r="N15" s="12"/>
      <c r="O15" s="10">
        <v>1935</v>
      </c>
      <c r="P15" s="13">
        <v>0.12388059701492526</v>
      </c>
      <c r="Q15" s="13">
        <v>1.949420442571137E-2</v>
      </c>
      <c r="R15" s="14">
        <v>9.9988890123319635E-4</v>
      </c>
    </row>
    <row r="16" spans="1:19" ht="15" customHeight="1" x14ac:dyDescent="0.25">
      <c r="A16" s="9" t="s">
        <v>32</v>
      </c>
      <c r="B16" s="10">
        <v>708054</v>
      </c>
      <c r="C16" s="10">
        <v>689218</v>
      </c>
      <c r="D16" s="10">
        <v>712620</v>
      </c>
      <c r="E16" s="10">
        <v>730029</v>
      </c>
      <c r="F16" s="11">
        <v>196670</v>
      </c>
      <c r="G16" s="11">
        <v>182204</v>
      </c>
      <c r="H16" s="11">
        <v>183819</v>
      </c>
      <c r="I16" s="11">
        <v>175843</v>
      </c>
      <c r="J16" s="10">
        <v>738536</v>
      </c>
      <c r="K16" s="12">
        <v>174618</v>
      </c>
      <c r="L16" s="12">
        <v>172435</v>
      </c>
      <c r="M16" s="12">
        <v>186707</v>
      </c>
      <c r="N16" s="12"/>
      <c r="O16" s="10">
        <v>533760</v>
      </c>
      <c r="P16" s="13">
        <v>1.5711107121679557E-2</v>
      </c>
      <c r="Q16" s="13">
        <v>-5.1418802082130011E-2</v>
      </c>
      <c r="R16" s="14">
        <v>0.27581431520528726</v>
      </c>
    </row>
    <row r="17" spans="1:18" ht="15" customHeight="1" x14ac:dyDescent="0.25">
      <c r="A17" s="9" t="s">
        <v>33</v>
      </c>
      <c r="B17" s="10">
        <v>287743</v>
      </c>
      <c r="C17" s="10">
        <v>345840</v>
      </c>
      <c r="D17" s="10">
        <v>334384</v>
      </c>
      <c r="E17" s="10">
        <v>340815</v>
      </c>
      <c r="F17" s="11">
        <v>84011</v>
      </c>
      <c r="G17" s="11">
        <v>85566</v>
      </c>
      <c r="H17" s="11">
        <v>84089</v>
      </c>
      <c r="I17" s="11">
        <v>80522</v>
      </c>
      <c r="J17" s="10">
        <v>334188</v>
      </c>
      <c r="K17" s="12">
        <v>83011</v>
      </c>
      <c r="L17" s="12">
        <v>80086</v>
      </c>
      <c r="M17" s="12">
        <v>83893</v>
      </c>
      <c r="N17" s="12"/>
      <c r="O17" s="10">
        <v>246990</v>
      </c>
      <c r="P17" s="13">
        <v>-2.3308637277170696E-3</v>
      </c>
      <c r="Q17" s="13">
        <v>-2.6318071795195297E-2</v>
      </c>
      <c r="R17" s="14">
        <v>0.12762922982717684</v>
      </c>
    </row>
    <row r="18" spans="1:18" ht="15" customHeight="1" x14ac:dyDescent="0.25">
      <c r="A18" s="9" t="s">
        <v>34</v>
      </c>
      <c r="B18" s="10">
        <v>38877</v>
      </c>
      <c r="C18" s="10">
        <v>34262</v>
      </c>
      <c r="D18" s="10">
        <v>19554</v>
      </c>
      <c r="E18" s="10">
        <v>12550</v>
      </c>
      <c r="F18" s="11">
        <v>1608</v>
      </c>
      <c r="G18" s="11">
        <v>2610</v>
      </c>
      <c r="H18" s="11">
        <v>2271</v>
      </c>
      <c r="I18" s="11">
        <v>3119</v>
      </c>
      <c r="J18" s="10">
        <v>9608</v>
      </c>
      <c r="K18" s="12">
        <v>1653</v>
      </c>
      <c r="L18" s="12">
        <v>2403</v>
      </c>
      <c r="M18" s="12">
        <v>2046</v>
      </c>
      <c r="N18" s="12"/>
      <c r="O18" s="10">
        <v>6102</v>
      </c>
      <c r="P18" s="13">
        <v>-9.9075297225891701E-2</v>
      </c>
      <c r="Q18" s="13">
        <v>-5.9639389736477089E-2</v>
      </c>
      <c r="R18" s="14">
        <v>3.153138023423754E-3</v>
      </c>
    </row>
    <row r="19" spans="1:18" ht="15" customHeight="1" x14ac:dyDescent="0.25">
      <c r="A19" t="s">
        <v>35</v>
      </c>
      <c r="B19" s="16">
        <f>SUBTOTAL(109,Tabell_Gris[2019])</f>
        <v>2568189</v>
      </c>
      <c r="C19" s="16">
        <f>SUBTOTAL(109,Tabell_Gris[2020])</f>
        <v>2617581</v>
      </c>
      <c r="D19" s="16">
        <f>SUBTOTAL(109,Tabell_Gris[2021])</f>
        <v>2647847</v>
      </c>
      <c r="E19" s="16">
        <f>SUBTOTAL(109,Tabell_Gris[2022])</f>
        <v>2668928</v>
      </c>
      <c r="F19" s="16">
        <f>SUBTOTAL(109,Tabell_Gris[Kvartal 1 2023])</f>
        <v>674514</v>
      </c>
      <c r="G19" s="16">
        <f>SUBTOTAL(109,Tabell_Gris[Kvartal 2 2023])</f>
        <v>623595</v>
      </c>
      <c r="H19" s="16">
        <f>SUBTOTAL(109,Tabell_Gris[Kvartal 3 2023])</f>
        <v>642599</v>
      </c>
      <c r="I19" s="16">
        <f>SUBTOTAL(109,Tabell_Gris[Kvartal 4 2023])</f>
        <v>627626</v>
      </c>
      <c r="J19" s="16">
        <f>SUBTOTAL(109,Tabell_Gris[2023])</f>
        <v>2568334</v>
      </c>
      <c r="K19" s="16">
        <f>SUBTOTAL(109,Tabell_Gris[Kvartal 1 2024])</f>
        <v>650357</v>
      </c>
      <c r="L19" s="16">
        <f>SUBTOTAL(109,Tabell_Gris[Kvartal 2 2024])</f>
        <v>625964</v>
      </c>
      <c r="M19" s="16">
        <f>SUBTOTAL(109,Tabell_Gris[Kvartal 3 2024])</f>
        <v>658894</v>
      </c>
      <c r="N19" s="16">
        <f>SUBTOTAL(109,Tabell_Gris[Kvartal 4 2024])</f>
        <v>0</v>
      </c>
      <c r="O19" s="16">
        <f>SUBTOTAL(109,Tabell_Gris[2024])</f>
        <v>1935215</v>
      </c>
      <c r="P19" s="17">
        <f>M19/H19-1</f>
        <v>2.5357960407657032E-2</v>
      </c>
      <c r="Q19" s="17">
        <f>O19/SUM(F19:H19)-1</f>
        <v>-2.8304103450905727E-3</v>
      </c>
      <c r="R19" s="18">
        <f>SUBTOTAL(109,Tabell_Gris[Procentuell andel 2024*])</f>
        <v>1</v>
      </c>
    </row>
    <row r="20" spans="1:18" ht="15" customHeight="1" x14ac:dyDescent="0.25">
      <c r="A20" t="s">
        <v>36</v>
      </c>
    </row>
    <row r="21" spans="1:18" ht="15" customHeight="1" x14ac:dyDescent="0.25">
      <c r="A21" t="s">
        <v>37</v>
      </c>
    </row>
    <row r="22" spans="1:18" ht="15" customHeight="1" x14ac:dyDescent="0.25">
      <c r="A22" t="s">
        <v>38</v>
      </c>
    </row>
    <row r="23" spans="1:18" ht="15" customHeight="1" x14ac:dyDescent="0.25">
      <c r="A23" t="s">
        <v>39</v>
      </c>
    </row>
    <row r="24" spans="1:18" ht="15" customHeight="1" x14ac:dyDescent="0.25"/>
    <row r="25" spans="1:18" ht="15" customHeight="1" x14ac:dyDescent="0.25"/>
    <row r="26" spans="1:18" ht="15" customHeight="1" x14ac:dyDescent="0.25"/>
    <row r="27" spans="1:18" ht="15" customHeight="1" x14ac:dyDescent="0.25"/>
    <row r="28" spans="1:18" ht="15" customHeight="1" x14ac:dyDescent="0.25"/>
    <row r="29" spans="1:18" ht="15" customHeight="1" x14ac:dyDescent="0.25"/>
    <row r="30" spans="1:18" ht="15" customHeight="1" x14ac:dyDescent="0.25"/>
    <row r="31" spans="1:18" ht="15" customHeight="1" x14ac:dyDescent="0.25"/>
    <row r="32" spans="1:1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pageMargins left="0.70866141732283472" right="0.31496062992125984" top="0.55118110236220474" bottom="0.74803149606299213" header="0.31496062992125984" footer="0.31496062992125984"/>
  <pageSetup paperSize="9" scale="7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1E4D3-CC56-4EFB-AA7E-37A7BED0E9F9}">
  <sheetPr codeName="flStorb">
    <pageSetUpPr fitToPage="1"/>
  </sheetPr>
  <dimension ref="A1:R79"/>
  <sheetViews>
    <sheetView workbookViewId="0">
      <selection activeCell="A2" sqref="A2"/>
    </sheetView>
  </sheetViews>
  <sheetFormatPr defaultColWidth="9.140625" defaultRowHeight="15" x14ac:dyDescent="0.25"/>
  <cols>
    <col min="1" max="1" width="27" customWidth="1"/>
    <col min="2" max="15" width="8.28515625" customWidth="1"/>
    <col min="16" max="16" width="9.28515625" customWidth="1"/>
    <col min="17" max="17" width="10.140625" customWidth="1"/>
    <col min="18" max="18" width="10" customWidth="1"/>
  </cols>
  <sheetData>
    <row r="1" spans="1:18" ht="92.25" customHeight="1" x14ac:dyDescent="0.25">
      <c r="A1" s="1" t="s">
        <v>40</v>
      </c>
      <c r="C1" s="1"/>
      <c r="J1" s="1"/>
      <c r="R1" s="2"/>
    </row>
    <row r="2" spans="1:18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25">
      <c r="A3" s="9" t="s">
        <v>41</v>
      </c>
      <c r="B3" s="10">
        <v>1426</v>
      </c>
      <c r="C3" s="10">
        <v>1442</v>
      </c>
      <c r="D3" s="10">
        <v>1385</v>
      </c>
      <c r="E3" s="10">
        <v>1479</v>
      </c>
      <c r="F3" s="11">
        <v>390</v>
      </c>
      <c r="G3" s="11">
        <v>407</v>
      </c>
      <c r="H3" s="11">
        <v>434</v>
      </c>
      <c r="I3" s="11">
        <v>530</v>
      </c>
      <c r="J3" s="19">
        <v>1761</v>
      </c>
      <c r="K3" s="12">
        <v>385</v>
      </c>
      <c r="L3" s="12">
        <v>412</v>
      </c>
      <c r="M3" s="12">
        <v>352</v>
      </c>
      <c r="N3" s="12"/>
      <c r="O3" s="10">
        <v>1149</v>
      </c>
      <c r="P3" s="13">
        <v>-0.18894009216589858</v>
      </c>
      <c r="Q3" s="13">
        <v>-6.6612510154346105E-2</v>
      </c>
      <c r="R3" s="14">
        <v>3.7979202337588502E-3</v>
      </c>
    </row>
    <row r="4" spans="1:18" ht="15" customHeight="1" x14ac:dyDescent="0.25">
      <c r="A4" s="9" t="s">
        <v>42</v>
      </c>
      <c r="B4" s="10">
        <v>203</v>
      </c>
      <c r="C4" s="10">
        <v>216</v>
      </c>
      <c r="D4" s="10">
        <v>240</v>
      </c>
      <c r="E4" s="10">
        <v>273</v>
      </c>
      <c r="F4" s="11">
        <v>78</v>
      </c>
      <c r="G4" s="11">
        <v>96</v>
      </c>
      <c r="H4" s="11">
        <v>86</v>
      </c>
      <c r="I4" s="11">
        <v>99</v>
      </c>
      <c r="J4" s="19">
        <v>359</v>
      </c>
      <c r="K4" s="12">
        <v>96</v>
      </c>
      <c r="L4" s="12">
        <v>127</v>
      </c>
      <c r="M4" s="12">
        <v>131</v>
      </c>
      <c r="N4" s="12"/>
      <c r="O4" s="10">
        <v>354</v>
      </c>
      <c r="P4" s="13">
        <v>0.52325581395348841</v>
      </c>
      <c r="Q4" s="13">
        <v>0.36153846153846159</v>
      </c>
      <c r="R4" s="14">
        <v>1.1701164166672176E-3</v>
      </c>
    </row>
    <row r="5" spans="1:18" ht="15" customHeight="1" x14ac:dyDescent="0.25">
      <c r="A5" s="9" t="s">
        <v>43</v>
      </c>
      <c r="B5" s="10">
        <v>1576</v>
      </c>
      <c r="C5" s="10">
        <v>1755</v>
      </c>
      <c r="D5" s="10">
        <v>1922</v>
      </c>
      <c r="E5" s="10">
        <v>2108</v>
      </c>
      <c r="F5" s="11">
        <v>491</v>
      </c>
      <c r="G5" s="11">
        <v>584</v>
      </c>
      <c r="H5" s="11">
        <v>569</v>
      </c>
      <c r="I5" s="11">
        <v>454</v>
      </c>
      <c r="J5" s="19">
        <v>2098</v>
      </c>
      <c r="K5" s="12">
        <v>471</v>
      </c>
      <c r="L5" s="12">
        <v>544</v>
      </c>
      <c r="M5" s="12">
        <v>497</v>
      </c>
      <c r="N5" s="12"/>
      <c r="O5" s="10">
        <v>1512</v>
      </c>
      <c r="P5" s="13">
        <v>-0.12653778558875217</v>
      </c>
      <c r="Q5" s="13">
        <v>-8.0291970802919721E-2</v>
      </c>
      <c r="R5" s="14">
        <v>4.9977853728837085E-3</v>
      </c>
    </row>
    <row r="6" spans="1:18" ht="15" customHeight="1" x14ac:dyDescent="0.25">
      <c r="A6" s="9" t="s">
        <v>22</v>
      </c>
      <c r="B6" s="10">
        <v>16870</v>
      </c>
      <c r="C6" s="10">
        <v>17416</v>
      </c>
      <c r="D6" s="10">
        <v>16340</v>
      </c>
      <c r="E6" s="10">
        <v>16534</v>
      </c>
      <c r="F6" s="11">
        <v>3986</v>
      </c>
      <c r="G6" s="11">
        <v>3969</v>
      </c>
      <c r="H6" s="11">
        <v>5114</v>
      </c>
      <c r="I6" s="11">
        <v>6108</v>
      </c>
      <c r="J6" s="19">
        <v>19177</v>
      </c>
      <c r="K6" s="12">
        <v>4436</v>
      </c>
      <c r="L6" s="12">
        <v>4333</v>
      </c>
      <c r="M6" s="12">
        <v>4868</v>
      </c>
      <c r="N6" s="12"/>
      <c r="O6" s="10">
        <v>13637</v>
      </c>
      <c r="P6" s="13">
        <v>-4.8103245991396149E-2</v>
      </c>
      <c r="Q6" s="13">
        <v>4.3461626750325166E-2</v>
      </c>
      <c r="R6" s="14">
        <v>4.5075925350539114E-2</v>
      </c>
    </row>
    <row r="7" spans="1:18" ht="15" customHeight="1" x14ac:dyDescent="0.25">
      <c r="A7" s="9" t="s">
        <v>44</v>
      </c>
      <c r="B7" s="10">
        <v>1831</v>
      </c>
      <c r="C7" s="10">
        <v>1351</v>
      </c>
      <c r="D7" s="10">
        <v>832</v>
      </c>
      <c r="E7" s="10">
        <v>768</v>
      </c>
      <c r="F7" s="11">
        <v>185</v>
      </c>
      <c r="G7" s="11">
        <v>179</v>
      </c>
      <c r="H7" s="11">
        <v>192</v>
      </c>
      <c r="I7" s="11">
        <v>252</v>
      </c>
      <c r="J7" s="19">
        <v>808</v>
      </c>
      <c r="K7" s="12">
        <v>162</v>
      </c>
      <c r="L7" s="12">
        <v>88</v>
      </c>
      <c r="M7" s="12">
        <v>130</v>
      </c>
      <c r="N7" s="12"/>
      <c r="O7" s="10">
        <v>380</v>
      </c>
      <c r="P7" s="13">
        <v>-0.32291666666666663</v>
      </c>
      <c r="Q7" s="13">
        <v>-0.31654676258992809</v>
      </c>
      <c r="R7" s="14">
        <v>1.2560571704337364E-3</v>
      </c>
    </row>
    <row r="8" spans="1:18" ht="15" customHeight="1" x14ac:dyDescent="0.25">
      <c r="A8" s="9" t="s">
        <v>45</v>
      </c>
      <c r="B8" s="10">
        <v>7278</v>
      </c>
      <c r="C8" s="10">
        <v>9019</v>
      </c>
      <c r="D8" s="10">
        <v>10001</v>
      </c>
      <c r="E8" s="10">
        <v>9636</v>
      </c>
      <c r="F8" s="11">
        <v>2868</v>
      </c>
      <c r="G8" s="11">
        <v>2828</v>
      </c>
      <c r="H8" s="11">
        <v>3188</v>
      </c>
      <c r="I8" s="11">
        <v>3997</v>
      </c>
      <c r="J8" s="19">
        <v>12881</v>
      </c>
      <c r="K8" s="12">
        <v>3317</v>
      </c>
      <c r="L8" s="12">
        <v>2716</v>
      </c>
      <c r="M8" s="12">
        <v>3009</v>
      </c>
      <c r="N8" s="12"/>
      <c r="O8" s="10">
        <v>9042</v>
      </c>
      <c r="P8" s="13">
        <v>-5.6148055207026371E-2</v>
      </c>
      <c r="Q8" s="13">
        <v>1.7784781629896385E-2</v>
      </c>
      <c r="R8" s="14">
        <v>2.9887549829110117E-2</v>
      </c>
    </row>
    <row r="9" spans="1:18" ht="15" customHeight="1" x14ac:dyDescent="0.25">
      <c r="A9" s="9" t="s">
        <v>46</v>
      </c>
      <c r="B9" s="10">
        <v>10224</v>
      </c>
      <c r="C9" s="10">
        <v>14795</v>
      </c>
      <c r="D9" s="10">
        <v>14349</v>
      </c>
      <c r="E9" s="10">
        <v>14578</v>
      </c>
      <c r="F9" s="11">
        <v>3642</v>
      </c>
      <c r="G9" s="11">
        <v>3269</v>
      </c>
      <c r="H9" s="11">
        <v>3502</v>
      </c>
      <c r="I9" s="11">
        <v>4160</v>
      </c>
      <c r="J9" s="19">
        <v>14573</v>
      </c>
      <c r="K9" s="12">
        <v>3236</v>
      </c>
      <c r="L9" s="12">
        <v>3104</v>
      </c>
      <c r="M9" s="12">
        <v>3387</v>
      </c>
      <c r="N9" s="12"/>
      <c r="O9" s="10">
        <v>9727</v>
      </c>
      <c r="P9" s="13">
        <v>-3.283837806967449E-2</v>
      </c>
      <c r="Q9" s="13">
        <v>-6.5879189474695066E-2</v>
      </c>
      <c r="R9" s="14">
        <v>3.2151758149497243E-2</v>
      </c>
    </row>
    <row r="10" spans="1:18" ht="15" customHeight="1" x14ac:dyDescent="0.25">
      <c r="A10" s="9" t="s">
        <v>47</v>
      </c>
      <c r="B10" s="10">
        <v>2949</v>
      </c>
      <c r="C10" s="10">
        <v>3479</v>
      </c>
      <c r="D10" s="10">
        <v>3488</v>
      </c>
      <c r="E10" s="10">
        <v>3566</v>
      </c>
      <c r="F10" s="11">
        <v>836</v>
      </c>
      <c r="G10" s="11">
        <v>861</v>
      </c>
      <c r="H10" s="11">
        <v>699</v>
      </c>
      <c r="I10" s="11">
        <v>871</v>
      </c>
      <c r="J10" s="19">
        <v>3267</v>
      </c>
      <c r="K10" s="12">
        <v>816</v>
      </c>
      <c r="L10" s="12">
        <v>897</v>
      </c>
      <c r="M10" s="12">
        <v>891</v>
      </c>
      <c r="N10" s="12"/>
      <c r="O10" s="10">
        <v>2604</v>
      </c>
      <c r="P10" s="13">
        <v>0.27467811158798283</v>
      </c>
      <c r="Q10" s="13">
        <v>8.6811352253756358E-2</v>
      </c>
      <c r="R10" s="14">
        <v>8.6072970310774981E-3</v>
      </c>
    </row>
    <row r="11" spans="1:18" ht="15" customHeight="1" x14ac:dyDescent="0.25">
      <c r="A11" s="9" t="s">
        <v>23</v>
      </c>
      <c r="B11" s="10">
        <v>12558</v>
      </c>
      <c r="C11" s="10">
        <v>7883</v>
      </c>
      <c r="D11" s="10">
        <v>5917</v>
      </c>
      <c r="E11" s="10">
        <v>7466</v>
      </c>
      <c r="F11" s="11">
        <v>2235</v>
      </c>
      <c r="G11" s="11">
        <v>2225</v>
      </c>
      <c r="H11" s="11">
        <v>2653</v>
      </c>
      <c r="I11" s="11">
        <v>2893</v>
      </c>
      <c r="J11" s="19">
        <v>10006</v>
      </c>
      <c r="K11" s="12">
        <v>2811</v>
      </c>
      <c r="L11" s="12">
        <v>2655</v>
      </c>
      <c r="M11" s="12">
        <v>2992</v>
      </c>
      <c r="N11" s="12"/>
      <c r="O11" s="10">
        <v>8458</v>
      </c>
      <c r="P11" s="13">
        <v>0.12777987184319639</v>
      </c>
      <c r="Q11" s="13">
        <v>0.18909039786306758</v>
      </c>
      <c r="R11" s="14">
        <v>2.7957188282969846E-2</v>
      </c>
    </row>
    <row r="12" spans="1:18" ht="15" customHeight="1" x14ac:dyDescent="0.25">
      <c r="A12" s="9" t="s">
        <v>48</v>
      </c>
      <c r="B12" s="10">
        <v>3907</v>
      </c>
      <c r="C12" s="10">
        <v>5242</v>
      </c>
      <c r="D12" s="10">
        <v>6125</v>
      </c>
      <c r="E12" s="10">
        <v>6078</v>
      </c>
      <c r="F12" s="11">
        <v>1443</v>
      </c>
      <c r="G12" s="11">
        <v>1342</v>
      </c>
      <c r="H12" s="11">
        <v>1375</v>
      </c>
      <c r="I12" s="11">
        <v>1833</v>
      </c>
      <c r="J12" s="19">
        <v>5993</v>
      </c>
      <c r="K12" s="12">
        <v>1779</v>
      </c>
      <c r="L12" s="12">
        <v>1638</v>
      </c>
      <c r="M12" s="12">
        <v>1875</v>
      </c>
      <c r="N12" s="12"/>
      <c r="O12" s="10">
        <v>5292</v>
      </c>
      <c r="P12" s="13">
        <v>0.36363636363636354</v>
      </c>
      <c r="Q12" s="13">
        <v>0.27211538461538454</v>
      </c>
      <c r="R12" s="14">
        <v>1.749224880509298E-2</v>
      </c>
    </row>
    <row r="13" spans="1:18" ht="15" customHeight="1" x14ac:dyDescent="0.25">
      <c r="A13" s="9" t="s">
        <v>24</v>
      </c>
      <c r="B13" s="10">
        <v>32111</v>
      </c>
      <c r="C13" s="10">
        <v>32514</v>
      </c>
      <c r="D13" s="10">
        <v>34764</v>
      </c>
      <c r="E13" s="10">
        <v>34837</v>
      </c>
      <c r="F13" s="11">
        <v>8774</v>
      </c>
      <c r="G13" s="11">
        <v>8471</v>
      </c>
      <c r="H13" s="11">
        <v>9318</v>
      </c>
      <c r="I13" s="11">
        <v>8980</v>
      </c>
      <c r="J13" s="19">
        <v>35543</v>
      </c>
      <c r="K13" s="12">
        <v>8661</v>
      </c>
      <c r="L13" s="12">
        <v>8063</v>
      </c>
      <c r="M13" s="12">
        <v>8878</v>
      </c>
      <c r="N13" s="12"/>
      <c r="O13" s="10">
        <v>25602</v>
      </c>
      <c r="P13" s="13">
        <v>-4.7220433569435505E-2</v>
      </c>
      <c r="Q13" s="13">
        <v>-3.6178142529081803E-2</v>
      </c>
      <c r="R13" s="14">
        <v>8.4625199151169783E-2</v>
      </c>
    </row>
    <row r="14" spans="1:18" ht="15" customHeight="1" x14ac:dyDescent="0.25">
      <c r="A14" s="9" t="s">
        <v>25</v>
      </c>
      <c r="B14" s="10">
        <v>60378</v>
      </c>
      <c r="C14" s="10">
        <v>57394</v>
      </c>
      <c r="D14" s="10">
        <v>51303</v>
      </c>
      <c r="E14" s="10">
        <v>51489</v>
      </c>
      <c r="F14" s="11">
        <v>12514</v>
      </c>
      <c r="G14" s="11">
        <v>12866</v>
      </c>
      <c r="H14" s="11">
        <v>14502</v>
      </c>
      <c r="I14" s="11">
        <v>14796</v>
      </c>
      <c r="J14" s="19">
        <v>54678</v>
      </c>
      <c r="K14" s="12">
        <v>13598</v>
      </c>
      <c r="L14" s="12">
        <v>12792</v>
      </c>
      <c r="M14" s="12">
        <v>14421</v>
      </c>
      <c r="N14" s="12"/>
      <c r="O14" s="10">
        <v>40811</v>
      </c>
      <c r="P14" s="13">
        <v>-5.5854364915184362E-3</v>
      </c>
      <c r="Q14" s="13">
        <v>2.3293716463567593E-2</v>
      </c>
      <c r="R14" s="14">
        <v>0.13489723469097689</v>
      </c>
    </row>
    <row r="15" spans="1:18" ht="15" customHeight="1" x14ac:dyDescent="0.25">
      <c r="A15" s="9" t="s">
        <v>26</v>
      </c>
      <c r="B15" s="10">
        <v>71214</v>
      </c>
      <c r="C15" s="10">
        <v>50476</v>
      </c>
      <c r="D15" s="10">
        <v>43519</v>
      </c>
      <c r="E15" s="10">
        <v>45187</v>
      </c>
      <c r="F15" s="11">
        <v>12024</v>
      </c>
      <c r="G15" s="11">
        <v>11193</v>
      </c>
      <c r="H15" s="11">
        <v>13714</v>
      </c>
      <c r="I15" s="11">
        <v>13025</v>
      </c>
      <c r="J15" s="19">
        <v>49956</v>
      </c>
      <c r="K15" s="12">
        <v>12063</v>
      </c>
      <c r="L15" s="12">
        <v>12119</v>
      </c>
      <c r="M15" s="12">
        <v>13450</v>
      </c>
      <c r="N15" s="12"/>
      <c r="O15" s="10">
        <v>37632</v>
      </c>
      <c r="P15" s="13">
        <v>-1.9250401050021848E-2</v>
      </c>
      <c r="Q15" s="13">
        <v>1.8981343586688793E-2</v>
      </c>
      <c r="R15" s="14">
        <v>0.12438932483621676</v>
      </c>
    </row>
    <row r="16" spans="1:18" ht="15" customHeight="1" x14ac:dyDescent="0.25">
      <c r="A16" s="9" t="s">
        <v>29</v>
      </c>
      <c r="B16" s="10">
        <v>5172</v>
      </c>
      <c r="C16" s="10">
        <v>5467</v>
      </c>
      <c r="D16" s="10">
        <v>5501</v>
      </c>
      <c r="E16" s="10">
        <v>5324</v>
      </c>
      <c r="F16" s="11">
        <v>1241</v>
      </c>
      <c r="G16" s="11">
        <v>1545</v>
      </c>
      <c r="H16" s="11">
        <v>1498</v>
      </c>
      <c r="I16" s="11">
        <v>1621</v>
      </c>
      <c r="J16" s="19">
        <v>5905</v>
      </c>
      <c r="K16" s="12">
        <v>1681</v>
      </c>
      <c r="L16" s="12">
        <v>1330</v>
      </c>
      <c r="M16" s="12">
        <v>1443</v>
      </c>
      <c r="N16" s="12"/>
      <c r="O16" s="10">
        <v>4454</v>
      </c>
      <c r="P16" s="13">
        <v>-3.6715620827770357E-2</v>
      </c>
      <c r="Q16" s="13">
        <v>3.9682539682539764E-2</v>
      </c>
      <c r="R16" s="14">
        <v>1.4722312202925952E-2</v>
      </c>
    </row>
    <row r="17" spans="1:18" ht="15" customHeight="1" x14ac:dyDescent="0.25">
      <c r="A17" s="9" t="s">
        <v>49</v>
      </c>
      <c r="B17" s="10">
        <v>3400</v>
      </c>
      <c r="C17" s="10">
        <v>3376</v>
      </c>
      <c r="D17" s="10">
        <v>2735</v>
      </c>
      <c r="E17" s="10">
        <v>2690</v>
      </c>
      <c r="F17" s="11">
        <v>693</v>
      </c>
      <c r="G17" s="11">
        <v>634</v>
      </c>
      <c r="H17" s="11">
        <v>689</v>
      </c>
      <c r="I17" s="11">
        <v>644</v>
      </c>
      <c r="J17" s="19">
        <v>2660</v>
      </c>
      <c r="K17" s="12">
        <v>688</v>
      </c>
      <c r="L17" s="12">
        <v>668</v>
      </c>
      <c r="M17" s="12">
        <v>712</v>
      </c>
      <c r="N17" s="12"/>
      <c r="O17" s="10">
        <v>2068</v>
      </c>
      <c r="P17" s="13">
        <v>3.3381712626995741E-2</v>
      </c>
      <c r="Q17" s="13">
        <v>2.5793650793650702E-2</v>
      </c>
      <c r="R17" s="14">
        <v>6.8355953380446494E-3</v>
      </c>
    </row>
    <row r="18" spans="1:18" ht="15" customHeight="1" x14ac:dyDescent="0.25">
      <c r="A18" s="9" t="s">
        <v>50</v>
      </c>
      <c r="B18" s="10">
        <v>6949</v>
      </c>
      <c r="C18" s="10">
        <v>7398</v>
      </c>
      <c r="D18" s="10">
        <v>7598</v>
      </c>
      <c r="E18" s="10">
        <v>7371</v>
      </c>
      <c r="F18" s="11">
        <v>1752</v>
      </c>
      <c r="G18" s="11">
        <v>1447</v>
      </c>
      <c r="H18" s="11">
        <v>1695</v>
      </c>
      <c r="I18" s="11">
        <v>1914</v>
      </c>
      <c r="J18" s="19">
        <v>6808</v>
      </c>
      <c r="K18" s="12">
        <v>1793</v>
      </c>
      <c r="L18" s="12">
        <v>1546</v>
      </c>
      <c r="M18" s="12">
        <v>1683</v>
      </c>
      <c r="N18" s="12"/>
      <c r="O18" s="10">
        <v>5022</v>
      </c>
      <c r="P18" s="13">
        <v>-7.0796460176991705E-3</v>
      </c>
      <c r="Q18" s="13">
        <v>2.6154474867184252E-2</v>
      </c>
      <c r="R18" s="14">
        <v>1.6599787131363748E-2</v>
      </c>
    </row>
    <row r="19" spans="1:18" ht="15" customHeight="1" x14ac:dyDescent="0.25">
      <c r="A19" s="9" t="s">
        <v>51</v>
      </c>
      <c r="B19" s="10">
        <v>6356</v>
      </c>
      <c r="C19" s="10">
        <v>7178</v>
      </c>
      <c r="D19" s="10">
        <v>6761</v>
      </c>
      <c r="E19" s="10">
        <v>6898</v>
      </c>
      <c r="F19" s="11">
        <v>1674</v>
      </c>
      <c r="G19" s="11">
        <v>1555</v>
      </c>
      <c r="H19" s="11">
        <v>1803</v>
      </c>
      <c r="I19" s="11">
        <v>1899</v>
      </c>
      <c r="J19" s="19">
        <v>6931</v>
      </c>
      <c r="K19" s="12">
        <v>1786</v>
      </c>
      <c r="L19" s="12">
        <v>1366</v>
      </c>
      <c r="M19" s="12">
        <v>1810</v>
      </c>
      <c r="N19" s="12"/>
      <c r="O19" s="10">
        <v>4962</v>
      </c>
      <c r="P19" s="13">
        <v>3.8824181919023815E-3</v>
      </c>
      <c r="Q19" s="13">
        <v>-1.3910969793322736E-2</v>
      </c>
      <c r="R19" s="14">
        <v>1.6401462314979472E-2</v>
      </c>
    </row>
    <row r="20" spans="1:18" ht="15" customHeight="1" x14ac:dyDescent="0.25">
      <c r="A20" s="9" t="s">
        <v>52</v>
      </c>
      <c r="B20" s="10">
        <v>11077</v>
      </c>
      <c r="C20" s="10">
        <v>10916</v>
      </c>
      <c r="D20" s="10">
        <v>10507</v>
      </c>
      <c r="E20" s="10">
        <v>11319</v>
      </c>
      <c r="F20" s="11">
        <v>2763</v>
      </c>
      <c r="G20" s="11">
        <v>2777</v>
      </c>
      <c r="H20" s="11">
        <v>2505</v>
      </c>
      <c r="I20" s="11">
        <v>2875</v>
      </c>
      <c r="J20" s="19">
        <v>10920</v>
      </c>
      <c r="K20" s="12">
        <v>2819</v>
      </c>
      <c r="L20" s="12">
        <v>2718</v>
      </c>
      <c r="M20" s="12">
        <v>2514</v>
      </c>
      <c r="N20" s="12"/>
      <c r="O20" s="10">
        <v>8051</v>
      </c>
      <c r="P20" s="13">
        <v>3.59281437125758E-3</v>
      </c>
      <c r="Q20" s="13">
        <v>7.4580484773156819E-4</v>
      </c>
      <c r="R20" s="14">
        <v>2.661188494516319E-2</v>
      </c>
    </row>
    <row r="21" spans="1:18" ht="15" customHeight="1" x14ac:dyDescent="0.25">
      <c r="A21" s="9" t="s">
        <v>53</v>
      </c>
      <c r="B21" s="10">
        <v>3336</v>
      </c>
      <c r="C21" s="10">
        <v>3346</v>
      </c>
      <c r="D21" s="10">
        <v>3001</v>
      </c>
      <c r="E21" s="10">
        <v>2906</v>
      </c>
      <c r="F21" s="11">
        <v>539</v>
      </c>
      <c r="G21" s="11">
        <v>671</v>
      </c>
      <c r="H21" s="11">
        <v>790</v>
      </c>
      <c r="I21" s="11">
        <v>1122</v>
      </c>
      <c r="J21" s="19">
        <v>3122</v>
      </c>
      <c r="K21" s="12">
        <v>726</v>
      </c>
      <c r="L21" s="12">
        <v>757</v>
      </c>
      <c r="M21" s="12">
        <v>649</v>
      </c>
      <c r="N21" s="12"/>
      <c r="O21" s="10">
        <v>2132</v>
      </c>
      <c r="P21" s="13">
        <v>-0.1784810126582278</v>
      </c>
      <c r="Q21" s="13">
        <v>6.6000000000000059E-2</v>
      </c>
      <c r="R21" s="14">
        <v>7.0471418088545422E-3</v>
      </c>
    </row>
    <row r="22" spans="1:18" ht="15" customHeight="1" x14ac:dyDescent="0.25">
      <c r="A22" s="9" t="s">
        <v>30</v>
      </c>
      <c r="B22" s="10">
        <v>19609</v>
      </c>
      <c r="C22" s="10">
        <v>18354</v>
      </c>
      <c r="D22" s="10">
        <v>18427</v>
      </c>
      <c r="E22" s="10">
        <v>17275</v>
      </c>
      <c r="F22" s="11">
        <v>4065</v>
      </c>
      <c r="G22" s="11">
        <v>3971</v>
      </c>
      <c r="H22" s="11">
        <v>4847</v>
      </c>
      <c r="I22" s="11">
        <v>5151</v>
      </c>
      <c r="J22" s="19">
        <v>18034</v>
      </c>
      <c r="K22" s="12">
        <v>4139</v>
      </c>
      <c r="L22" s="12">
        <v>4579</v>
      </c>
      <c r="M22" s="12">
        <v>5026</v>
      </c>
      <c r="N22" s="12"/>
      <c r="O22" s="10">
        <v>13744</v>
      </c>
      <c r="P22" s="13">
        <v>3.6930059830823092E-2</v>
      </c>
      <c r="Q22" s="13">
        <v>6.6832259566871111E-2</v>
      </c>
      <c r="R22" s="14">
        <v>4.5429604606424402E-2</v>
      </c>
    </row>
    <row r="23" spans="1:18" ht="15" customHeight="1" x14ac:dyDescent="0.25">
      <c r="A23" s="9" t="s">
        <v>31</v>
      </c>
      <c r="B23" s="10">
        <v>556</v>
      </c>
      <c r="C23" s="10">
        <v>519</v>
      </c>
      <c r="D23" s="10">
        <v>585</v>
      </c>
      <c r="E23" s="10">
        <v>585</v>
      </c>
      <c r="F23" s="11">
        <v>106</v>
      </c>
      <c r="G23" s="11">
        <v>158</v>
      </c>
      <c r="H23" s="11">
        <v>164</v>
      </c>
      <c r="I23" s="11">
        <v>156</v>
      </c>
      <c r="J23" s="19">
        <v>584</v>
      </c>
      <c r="K23" s="12">
        <v>140</v>
      </c>
      <c r="L23" s="12">
        <v>166</v>
      </c>
      <c r="M23" s="12">
        <v>165</v>
      </c>
      <c r="N23" s="12"/>
      <c r="O23" s="10">
        <v>471</v>
      </c>
      <c r="P23" s="13">
        <v>6.0975609756097615E-3</v>
      </c>
      <c r="Q23" s="13">
        <v>0.10046728971962615</v>
      </c>
      <c r="R23" s="14">
        <v>1.5568498086165521E-3</v>
      </c>
    </row>
    <row r="24" spans="1:18" ht="15" customHeight="1" x14ac:dyDescent="0.25">
      <c r="A24" s="9" t="s">
        <v>54</v>
      </c>
      <c r="B24" s="10">
        <v>76265</v>
      </c>
      <c r="C24" s="10">
        <v>103198</v>
      </c>
      <c r="D24" s="10">
        <v>101310</v>
      </c>
      <c r="E24" s="10">
        <v>100650</v>
      </c>
      <c r="F24" s="11">
        <v>24811</v>
      </c>
      <c r="G24" s="11">
        <v>23944</v>
      </c>
      <c r="H24" s="11">
        <v>24718</v>
      </c>
      <c r="I24" s="11">
        <v>23854</v>
      </c>
      <c r="J24" s="19">
        <v>97327</v>
      </c>
      <c r="K24" s="12">
        <v>26179</v>
      </c>
      <c r="L24" s="12">
        <v>21785</v>
      </c>
      <c r="M24" s="12">
        <v>24319</v>
      </c>
      <c r="N24" s="12"/>
      <c r="O24" s="10">
        <v>72283</v>
      </c>
      <c r="P24" s="13">
        <v>-1.6142082692774506E-2</v>
      </c>
      <c r="Q24" s="13">
        <v>-1.6196425897948896E-2</v>
      </c>
      <c r="R24" s="14">
        <v>0.2389252117117415</v>
      </c>
    </row>
    <row r="25" spans="1:18" ht="15" customHeight="1" x14ac:dyDescent="0.25">
      <c r="A25" s="9" t="s">
        <v>55</v>
      </c>
      <c r="B25" s="10">
        <v>1950</v>
      </c>
      <c r="C25" s="10">
        <v>1728</v>
      </c>
      <c r="D25" s="10">
        <v>1576</v>
      </c>
      <c r="E25" s="10">
        <v>1132</v>
      </c>
      <c r="F25" s="11">
        <v>227</v>
      </c>
      <c r="G25" s="11">
        <v>241</v>
      </c>
      <c r="H25" s="11">
        <v>246</v>
      </c>
      <c r="I25" s="11">
        <v>238</v>
      </c>
      <c r="J25" s="19">
        <v>952</v>
      </c>
      <c r="K25" s="12">
        <v>214</v>
      </c>
      <c r="L25" s="12">
        <v>194</v>
      </c>
      <c r="M25" s="12">
        <v>127</v>
      </c>
      <c r="N25" s="12"/>
      <c r="O25" s="10">
        <v>535</v>
      </c>
      <c r="P25" s="13">
        <v>-0.48373983739837401</v>
      </c>
      <c r="Q25" s="13">
        <v>-0.25070028011204482</v>
      </c>
      <c r="R25" s="14">
        <v>1.7683962794264446E-3</v>
      </c>
    </row>
    <row r="26" spans="1:18" ht="15" customHeight="1" x14ac:dyDescent="0.25">
      <c r="A26" s="9" t="s">
        <v>33</v>
      </c>
      <c r="B26" s="10">
        <v>43704</v>
      </c>
      <c r="C26" s="10">
        <v>40598</v>
      </c>
      <c r="D26" s="10">
        <v>38141</v>
      </c>
      <c r="E26" s="10">
        <v>37583</v>
      </c>
      <c r="F26" s="11">
        <v>8923</v>
      </c>
      <c r="G26" s="11">
        <v>8967</v>
      </c>
      <c r="H26" s="11">
        <v>9010</v>
      </c>
      <c r="I26" s="11">
        <v>9785</v>
      </c>
      <c r="J26" s="19">
        <v>36685</v>
      </c>
      <c r="K26" s="12">
        <v>8803</v>
      </c>
      <c r="L26" s="12">
        <v>8812</v>
      </c>
      <c r="M26" s="12">
        <v>9167</v>
      </c>
      <c r="N26" s="12"/>
      <c r="O26" s="10">
        <v>26782</v>
      </c>
      <c r="P26" s="13">
        <v>1.7425083240843575E-2</v>
      </c>
      <c r="Q26" s="13">
        <v>-4.3866171003716925E-3</v>
      </c>
      <c r="R26" s="14">
        <v>8.852558720672718E-2</v>
      </c>
    </row>
    <row r="27" spans="1:18" ht="15" customHeight="1" x14ac:dyDescent="0.25">
      <c r="A27" s="9" t="s">
        <v>56</v>
      </c>
      <c r="B27" s="10">
        <v>1046</v>
      </c>
      <c r="C27" s="10">
        <v>1179</v>
      </c>
      <c r="D27" s="10">
        <v>1139</v>
      </c>
      <c r="E27" s="10">
        <v>962</v>
      </c>
      <c r="F27" s="11">
        <v>193</v>
      </c>
      <c r="G27" s="11">
        <v>248</v>
      </c>
      <c r="H27" s="11">
        <v>188</v>
      </c>
      <c r="I27" s="11">
        <v>329</v>
      </c>
      <c r="J27" s="19">
        <v>958</v>
      </c>
      <c r="K27" s="12">
        <v>178</v>
      </c>
      <c r="L27" s="12">
        <v>255</v>
      </c>
      <c r="M27" s="12">
        <v>185</v>
      </c>
      <c r="N27" s="12"/>
      <c r="O27" s="10">
        <v>618</v>
      </c>
      <c r="P27" s="13">
        <v>-1.5957446808510634E-2</v>
      </c>
      <c r="Q27" s="13">
        <v>-1.748807631160576E-2</v>
      </c>
      <c r="R27" s="14">
        <v>2.0427456087580239E-3</v>
      </c>
    </row>
    <row r="28" spans="1:18" ht="15" customHeight="1" x14ac:dyDescent="0.25">
      <c r="A28" s="9" t="s">
        <v>34</v>
      </c>
      <c r="B28" s="10">
        <v>15098</v>
      </c>
      <c r="C28" s="10">
        <v>13959</v>
      </c>
      <c r="D28" s="10">
        <v>12496</v>
      </c>
      <c r="E28" s="10">
        <v>11522</v>
      </c>
      <c r="F28" s="11">
        <v>2650</v>
      </c>
      <c r="G28" s="11">
        <v>1585</v>
      </c>
      <c r="H28" s="11">
        <v>1637</v>
      </c>
      <c r="I28" s="11">
        <v>1945</v>
      </c>
      <c r="J28" s="19">
        <v>7817</v>
      </c>
      <c r="K28" s="12">
        <v>1810</v>
      </c>
      <c r="L28" s="12">
        <v>1784</v>
      </c>
      <c r="M28" s="12">
        <v>1618</v>
      </c>
      <c r="N28" s="12"/>
      <c r="O28" s="10">
        <v>5212</v>
      </c>
      <c r="P28" s="13">
        <v>-1.1606597434331123E-2</v>
      </c>
      <c r="Q28" s="13">
        <v>-0.11239782016348776</v>
      </c>
      <c r="R28" s="14">
        <v>1.7227815716580615E-2</v>
      </c>
    </row>
    <row r="29" spans="1:18" ht="15" customHeight="1" x14ac:dyDescent="0.25">
      <c r="A29" t="s">
        <v>35</v>
      </c>
      <c r="B29" s="16">
        <f>SUBTOTAL(109,Tabell_Storb[2019])</f>
        <v>417043</v>
      </c>
      <c r="C29" s="16">
        <f>SUBTOTAL(109,Tabell_Storb[2020])</f>
        <v>420198</v>
      </c>
      <c r="D29" s="16">
        <f>SUBTOTAL(109,Tabell_Storb[2021])</f>
        <v>399962</v>
      </c>
      <c r="E29" s="16">
        <f>SUBTOTAL(109,Tabell_Storb[2022])</f>
        <v>400216</v>
      </c>
      <c r="F29" s="16">
        <f>SUBTOTAL(109,Tabell_Storb[Kvartal 1 2023])</f>
        <v>99103</v>
      </c>
      <c r="G29" s="16">
        <f>SUBTOTAL(109,Tabell_Storb[Kvartal 2 2023])</f>
        <v>96033</v>
      </c>
      <c r="H29" s="16">
        <f>SUBTOTAL(109,Tabell_Storb[Kvartal 3 2023])</f>
        <v>105136</v>
      </c>
      <c r="I29" s="16">
        <f>SUBTOTAL(109,Tabell_Storb[Kvartal 4 2023])</f>
        <v>109531</v>
      </c>
      <c r="J29" s="16">
        <f>SUBTOTAL(109,Tabell_Storb[2023])</f>
        <v>409803</v>
      </c>
      <c r="K29" s="16">
        <f>SUBTOTAL(109,Tabell_Storb[Kvartal 1 2024])</f>
        <v>102787</v>
      </c>
      <c r="L29" s="16">
        <f>SUBTOTAL(109,Tabell_Storb[Kvartal 2 2024])</f>
        <v>95448</v>
      </c>
      <c r="M29" s="16">
        <f>SUBTOTAL(109,Tabell_Storb[Kvartal 3 2024])</f>
        <v>104299</v>
      </c>
      <c r="N29" s="16">
        <f>SUBTOTAL(109,Tabell_Storb[Kvartal 4 2024])</f>
        <v>0</v>
      </c>
      <c r="O29" s="16">
        <f>SUBTOTAL(109,Tabell_Storb[2024])</f>
        <v>302534</v>
      </c>
      <c r="P29" s="17">
        <f>M29/H29-1</f>
        <v>-7.9611170293715228E-3</v>
      </c>
      <c r="Q29" s="17">
        <f>O29/SUM(F29:H29)-1</f>
        <v>7.5331699259337803E-3</v>
      </c>
      <c r="R29" s="18">
        <f>SUBTOTAL(109,Tabell_Storb[Procentuell andel 2024*])</f>
        <v>1.0000000000000004</v>
      </c>
    </row>
    <row r="30" spans="1:18" ht="15" customHeight="1" x14ac:dyDescent="0.25">
      <c r="A30" t="s">
        <v>57</v>
      </c>
    </row>
    <row r="31" spans="1:18" ht="15" customHeight="1" x14ac:dyDescent="0.25">
      <c r="A31" t="s">
        <v>37</v>
      </c>
    </row>
    <row r="32" spans="1:18" ht="15" customHeight="1" x14ac:dyDescent="0.25">
      <c r="A32" t="s">
        <v>58</v>
      </c>
    </row>
    <row r="33" spans="1:1" ht="15" customHeight="1" x14ac:dyDescent="0.25">
      <c r="A33" t="s">
        <v>39</v>
      </c>
    </row>
    <row r="34" spans="1:1" ht="15" customHeight="1" x14ac:dyDescent="0.25"/>
    <row r="35" spans="1:1" ht="15" customHeight="1" x14ac:dyDescent="0.25"/>
    <row r="36" spans="1:1" ht="15" customHeight="1" x14ac:dyDescent="0.25"/>
    <row r="37" spans="1:1" ht="15" customHeight="1" x14ac:dyDescent="0.25"/>
    <row r="38" spans="1:1" ht="15" customHeight="1" x14ac:dyDescent="0.25"/>
    <row r="39" spans="1:1" ht="15" customHeight="1" x14ac:dyDescent="0.25"/>
    <row r="40" spans="1:1" ht="15" customHeight="1" x14ac:dyDescent="0.25"/>
    <row r="41" spans="1:1" ht="15" customHeight="1" x14ac:dyDescent="0.25"/>
    <row r="42" spans="1:1" ht="15" customHeight="1" x14ac:dyDescent="0.25"/>
    <row r="43" spans="1:1" ht="15" customHeight="1" x14ac:dyDescent="0.25"/>
    <row r="44" spans="1:1" ht="15" customHeight="1" x14ac:dyDescent="0.25"/>
    <row r="45" spans="1:1" ht="15" customHeight="1" x14ac:dyDescent="0.25"/>
    <row r="46" spans="1:1" ht="15" customHeight="1" x14ac:dyDescent="0.25"/>
    <row r="47" spans="1:1" ht="15" customHeight="1" x14ac:dyDescent="0.25"/>
    <row r="48" spans="1: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</sheetData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63FD-819F-4BA6-990D-B8CCF30BD23D}">
  <sheetPr codeName="flKalv">
    <pageSetUpPr fitToPage="1"/>
  </sheetPr>
  <dimension ref="A1:W69"/>
  <sheetViews>
    <sheetView workbookViewId="0">
      <selection activeCell="A2" sqref="A2"/>
    </sheetView>
  </sheetViews>
  <sheetFormatPr defaultColWidth="9.140625" defaultRowHeight="15" x14ac:dyDescent="0.25"/>
  <cols>
    <col min="1" max="1" width="27" customWidth="1"/>
    <col min="2" max="15" width="8.28515625" customWidth="1"/>
    <col min="16" max="16" width="9.28515625" customWidth="1"/>
    <col min="17" max="17" width="10.140625" customWidth="1"/>
    <col min="18" max="18" width="10" customWidth="1"/>
  </cols>
  <sheetData>
    <row r="1" spans="1:23" ht="92.25" customHeight="1" x14ac:dyDescent="0.25">
      <c r="A1" s="1" t="s">
        <v>59</v>
      </c>
      <c r="C1" s="1"/>
      <c r="J1" s="1"/>
      <c r="R1" s="2"/>
    </row>
    <row r="2" spans="1:23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23" ht="15" customHeight="1" x14ac:dyDescent="0.25">
      <c r="A3" s="9" t="s">
        <v>41</v>
      </c>
      <c r="B3" s="10">
        <v>133</v>
      </c>
      <c r="C3" s="10">
        <v>109</v>
      </c>
      <c r="D3" s="10">
        <v>102</v>
      </c>
      <c r="E3" s="10">
        <v>105</v>
      </c>
      <c r="F3" s="11">
        <v>39</v>
      </c>
      <c r="G3" s="11">
        <v>27</v>
      </c>
      <c r="H3" s="11">
        <v>25</v>
      </c>
      <c r="I3" s="11">
        <v>26</v>
      </c>
      <c r="J3" s="10">
        <v>117</v>
      </c>
      <c r="K3" s="12">
        <v>32</v>
      </c>
      <c r="L3" s="12">
        <v>26</v>
      </c>
      <c r="M3" s="20">
        <v>28</v>
      </c>
      <c r="N3" s="20"/>
      <c r="O3" s="10">
        <v>86</v>
      </c>
      <c r="P3" s="21">
        <v>0.12000000000000011</v>
      </c>
      <c r="Q3" s="13">
        <v>-5.4945054945054972E-2</v>
      </c>
      <c r="R3" s="14">
        <v>1.134714342261512E-2</v>
      </c>
      <c r="U3" s="22" t="s">
        <v>60</v>
      </c>
    </row>
    <row r="4" spans="1:23" ht="15" customHeight="1" x14ac:dyDescent="0.25">
      <c r="A4" s="9" t="s">
        <v>42</v>
      </c>
      <c r="B4" s="10">
        <v>16</v>
      </c>
      <c r="C4" s="10">
        <v>19</v>
      </c>
      <c r="D4" s="10">
        <v>62</v>
      </c>
      <c r="E4" s="10">
        <v>58</v>
      </c>
      <c r="F4" s="11">
        <v>18</v>
      </c>
      <c r="G4" s="11">
        <v>15</v>
      </c>
      <c r="H4" s="11">
        <v>12</v>
      </c>
      <c r="I4" s="11">
        <v>14</v>
      </c>
      <c r="J4" s="10">
        <v>59</v>
      </c>
      <c r="K4" s="12">
        <v>20</v>
      </c>
      <c r="L4" s="12">
        <v>14</v>
      </c>
      <c r="M4" s="20">
        <v>13</v>
      </c>
      <c r="N4" s="20"/>
      <c r="O4" s="10">
        <v>47</v>
      </c>
      <c r="P4" s="21">
        <v>8.3333333333333259E-2</v>
      </c>
      <c r="Q4" s="13">
        <v>4.4444444444444509E-2</v>
      </c>
      <c r="R4" s="14">
        <v>6.2013458239873337E-3</v>
      </c>
    </row>
    <row r="5" spans="1:23" ht="15" customHeight="1" x14ac:dyDescent="0.25">
      <c r="A5" s="9" t="s">
        <v>61</v>
      </c>
      <c r="B5" s="10"/>
      <c r="C5" s="10">
        <v>82</v>
      </c>
      <c r="D5" s="10">
        <v>100</v>
      </c>
      <c r="E5" s="10">
        <v>130</v>
      </c>
      <c r="F5" s="11">
        <v>30</v>
      </c>
      <c r="G5" s="11">
        <v>32</v>
      </c>
      <c r="H5" s="11">
        <v>25</v>
      </c>
      <c r="I5" s="11">
        <v>48</v>
      </c>
      <c r="J5" s="10">
        <v>135</v>
      </c>
      <c r="K5" s="12">
        <v>32</v>
      </c>
      <c r="L5" s="12">
        <v>31</v>
      </c>
      <c r="M5" s="20">
        <v>11</v>
      </c>
      <c r="N5" s="20"/>
      <c r="O5" s="10">
        <v>74</v>
      </c>
      <c r="P5" s="21">
        <v>-0.56000000000000005</v>
      </c>
      <c r="Q5" s="13">
        <v>-0.14942528735632188</v>
      </c>
      <c r="R5" s="14">
        <v>9.7638210845758019E-3</v>
      </c>
    </row>
    <row r="6" spans="1:23" ht="15" customHeight="1" x14ac:dyDescent="0.25">
      <c r="A6" s="9" t="s">
        <v>22</v>
      </c>
      <c r="B6" s="10">
        <v>309</v>
      </c>
      <c r="C6" s="10">
        <v>280</v>
      </c>
      <c r="D6" s="10">
        <v>245</v>
      </c>
      <c r="E6" s="10">
        <v>230</v>
      </c>
      <c r="F6" s="11">
        <v>66</v>
      </c>
      <c r="G6" s="11">
        <v>40</v>
      </c>
      <c r="H6" s="11">
        <v>60</v>
      </c>
      <c r="I6" s="11">
        <v>43</v>
      </c>
      <c r="J6" s="10">
        <v>209</v>
      </c>
      <c r="K6" s="12">
        <v>56</v>
      </c>
      <c r="L6" s="12">
        <v>58</v>
      </c>
      <c r="M6" s="20">
        <v>93</v>
      </c>
      <c r="N6" s="20"/>
      <c r="O6" s="10">
        <v>207</v>
      </c>
      <c r="P6" s="21">
        <v>0.55000000000000004</v>
      </c>
      <c r="Q6" s="13">
        <v>0.24698795180722888</v>
      </c>
      <c r="R6" s="14">
        <v>2.7312310331178254E-2</v>
      </c>
      <c r="W6" s="22" t="s">
        <v>62</v>
      </c>
    </row>
    <row r="7" spans="1:23" ht="15" customHeight="1" x14ac:dyDescent="0.25">
      <c r="A7" s="9" t="s">
        <v>45</v>
      </c>
      <c r="B7" s="10">
        <v>355</v>
      </c>
      <c r="C7" s="10">
        <v>294</v>
      </c>
      <c r="D7" s="10">
        <v>319</v>
      </c>
      <c r="E7" s="10">
        <v>328</v>
      </c>
      <c r="F7" s="11">
        <v>77</v>
      </c>
      <c r="G7" s="11">
        <v>68</v>
      </c>
      <c r="H7" s="11">
        <v>60</v>
      </c>
      <c r="I7" s="11">
        <v>196</v>
      </c>
      <c r="J7" s="10">
        <v>401</v>
      </c>
      <c r="K7" s="12">
        <v>114</v>
      </c>
      <c r="L7" s="12">
        <v>57</v>
      </c>
      <c r="M7" s="20">
        <v>66</v>
      </c>
      <c r="N7" s="20"/>
      <c r="O7" s="10">
        <v>237</v>
      </c>
      <c r="P7" s="21">
        <v>0.10000000000000009</v>
      </c>
      <c r="Q7" s="13">
        <v>0.15609756097560967</v>
      </c>
      <c r="R7" s="14">
        <v>3.1270616176276557E-2</v>
      </c>
    </row>
    <row r="8" spans="1:23" ht="15" customHeight="1" x14ac:dyDescent="0.25">
      <c r="A8" s="9" t="s">
        <v>46</v>
      </c>
      <c r="B8" s="10">
        <v>264</v>
      </c>
      <c r="C8" s="10">
        <v>247</v>
      </c>
      <c r="D8" s="10">
        <v>169</v>
      </c>
      <c r="E8" s="10">
        <v>95</v>
      </c>
      <c r="F8" s="11">
        <v>198</v>
      </c>
      <c r="G8" s="11">
        <v>46</v>
      </c>
      <c r="H8" s="11">
        <v>36</v>
      </c>
      <c r="I8" s="11">
        <v>232</v>
      </c>
      <c r="J8" s="10">
        <v>512</v>
      </c>
      <c r="K8" s="12">
        <v>427</v>
      </c>
      <c r="L8" s="12">
        <v>339</v>
      </c>
      <c r="M8" s="20">
        <v>42</v>
      </c>
      <c r="N8" s="20"/>
      <c r="O8" s="10">
        <v>808</v>
      </c>
      <c r="P8" s="21">
        <v>0.16666666666666674</v>
      </c>
      <c r="Q8" s="13">
        <v>1.8857142857142857</v>
      </c>
      <c r="R8" s="14">
        <v>0.10661037076131416</v>
      </c>
    </row>
    <row r="9" spans="1:23" ht="15" customHeight="1" x14ac:dyDescent="0.25">
      <c r="A9" s="9" t="s">
        <v>47</v>
      </c>
      <c r="B9" s="10">
        <v>598</v>
      </c>
      <c r="C9" s="10">
        <v>598</v>
      </c>
      <c r="D9" s="10">
        <v>559</v>
      </c>
      <c r="E9" s="10">
        <v>638</v>
      </c>
      <c r="F9" s="11">
        <v>178</v>
      </c>
      <c r="G9" s="11">
        <v>153</v>
      </c>
      <c r="H9" s="11">
        <v>122</v>
      </c>
      <c r="I9" s="11">
        <v>157</v>
      </c>
      <c r="J9" s="10">
        <v>610</v>
      </c>
      <c r="K9" s="12">
        <v>197</v>
      </c>
      <c r="L9" s="12">
        <v>205</v>
      </c>
      <c r="M9" s="20">
        <v>154</v>
      </c>
      <c r="N9" s="20"/>
      <c r="O9" s="10">
        <v>556</v>
      </c>
      <c r="P9" s="21">
        <v>0.26229508196721318</v>
      </c>
      <c r="Q9" s="13">
        <v>0.22737306843267113</v>
      </c>
      <c r="R9" s="14">
        <v>7.336060166248845E-2</v>
      </c>
    </row>
    <row r="10" spans="1:23" ht="15" customHeight="1" x14ac:dyDescent="0.25">
      <c r="A10" s="9" t="s">
        <v>23</v>
      </c>
      <c r="B10" s="10">
        <v>97</v>
      </c>
      <c r="C10" s="10">
        <v>34</v>
      </c>
      <c r="D10" s="10">
        <v>28</v>
      </c>
      <c r="E10" s="10">
        <v>31</v>
      </c>
      <c r="F10" s="11">
        <v>6</v>
      </c>
      <c r="G10" s="11">
        <v>3</v>
      </c>
      <c r="H10" s="11"/>
      <c r="I10" s="11">
        <v>6</v>
      </c>
      <c r="J10" s="10">
        <v>15</v>
      </c>
      <c r="K10" s="12">
        <v>11</v>
      </c>
      <c r="L10" s="12">
        <v>11</v>
      </c>
      <c r="M10" s="20">
        <v>5</v>
      </c>
      <c r="N10" s="20"/>
      <c r="O10" s="10">
        <v>27</v>
      </c>
      <c r="P10" s="21" t="s">
        <v>63</v>
      </c>
      <c r="Q10" s="13">
        <v>2</v>
      </c>
      <c r="R10" s="14">
        <v>3.5624752605884682E-3</v>
      </c>
    </row>
    <row r="11" spans="1:23" ht="15" customHeight="1" x14ac:dyDescent="0.25">
      <c r="A11" s="9" t="s">
        <v>48</v>
      </c>
      <c r="B11" s="10">
        <v>75</v>
      </c>
      <c r="C11" s="10">
        <v>61</v>
      </c>
      <c r="D11" s="10">
        <v>43</v>
      </c>
      <c r="E11" s="10">
        <v>12</v>
      </c>
      <c r="F11" s="11">
        <v>32</v>
      </c>
      <c r="G11" s="11">
        <v>9</v>
      </c>
      <c r="H11" s="11">
        <v>5</v>
      </c>
      <c r="I11" s="11">
        <v>40</v>
      </c>
      <c r="J11" s="10">
        <v>86</v>
      </c>
      <c r="K11" s="12">
        <v>23</v>
      </c>
      <c r="L11" s="12">
        <v>10</v>
      </c>
      <c r="M11" s="20">
        <v>8</v>
      </c>
      <c r="N11" s="20"/>
      <c r="O11" s="10">
        <v>41</v>
      </c>
      <c r="P11" s="21">
        <v>0.60000000000000009</v>
      </c>
      <c r="Q11" s="13">
        <v>-0.10869565217391308</v>
      </c>
      <c r="R11" s="14">
        <v>5.4096846549676735E-3</v>
      </c>
    </row>
    <row r="12" spans="1:23" ht="15" customHeight="1" x14ac:dyDescent="0.25">
      <c r="A12" s="9" t="s">
        <v>24</v>
      </c>
      <c r="B12" s="10">
        <v>866</v>
      </c>
      <c r="C12" s="10">
        <v>844</v>
      </c>
      <c r="D12" s="10">
        <v>110</v>
      </c>
      <c r="E12" s="10">
        <v>103</v>
      </c>
      <c r="F12" s="11">
        <v>16</v>
      </c>
      <c r="G12" s="11">
        <v>18</v>
      </c>
      <c r="H12" s="11">
        <v>23</v>
      </c>
      <c r="I12" s="11">
        <v>23</v>
      </c>
      <c r="J12" s="10">
        <v>80</v>
      </c>
      <c r="K12" s="12">
        <v>4</v>
      </c>
      <c r="L12" s="12">
        <v>12</v>
      </c>
      <c r="M12" s="20">
        <v>11</v>
      </c>
      <c r="N12" s="20"/>
      <c r="O12" s="10">
        <v>27</v>
      </c>
      <c r="P12" s="21">
        <v>-0.52173913043478259</v>
      </c>
      <c r="Q12" s="13">
        <v>-0.52631578947368429</v>
      </c>
      <c r="R12" s="14">
        <v>3.5624752605884682E-3</v>
      </c>
    </row>
    <row r="13" spans="1:23" ht="15" customHeight="1" x14ac:dyDescent="0.25">
      <c r="A13" s="9" t="s">
        <v>26</v>
      </c>
      <c r="B13" s="10">
        <v>3102</v>
      </c>
      <c r="C13" s="10">
        <v>1481</v>
      </c>
      <c r="D13" s="10">
        <v>241</v>
      </c>
      <c r="E13" s="10">
        <v>386</v>
      </c>
      <c r="F13" s="11">
        <v>136</v>
      </c>
      <c r="G13" s="11">
        <v>375</v>
      </c>
      <c r="H13" s="11">
        <v>348</v>
      </c>
      <c r="I13" s="11">
        <v>323</v>
      </c>
      <c r="J13" s="10">
        <v>1182</v>
      </c>
      <c r="K13" s="12">
        <v>355</v>
      </c>
      <c r="L13" s="12">
        <v>325</v>
      </c>
      <c r="M13" s="20">
        <v>202</v>
      </c>
      <c r="N13" s="20"/>
      <c r="O13" s="10">
        <v>882</v>
      </c>
      <c r="P13" s="21">
        <v>-0.41954022988505746</v>
      </c>
      <c r="Q13" s="13">
        <v>2.6775320139697412E-2</v>
      </c>
      <c r="R13" s="14">
        <v>0.11637419184588996</v>
      </c>
    </row>
    <row r="14" spans="1:23" ht="15" customHeight="1" x14ac:dyDescent="0.25">
      <c r="A14" s="9" t="s">
        <v>29</v>
      </c>
      <c r="B14" s="10">
        <v>199</v>
      </c>
      <c r="C14" s="10">
        <v>184</v>
      </c>
      <c r="D14" s="10">
        <v>111</v>
      </c>
      <c r="E14" s="10">
        <v>235</v>
      </c>
      <c r="F14" s="11">
        <v>57</v>
      </c>
      <c r="G14" s="11">
        <v>65</v>
      </c>
      <c r="H14" s="11">
        <v>63</v>
      </c>
      <c r="I14" s="11">
        <v>23</v>
      </c>
      <c r="J14" s="10">
        <v>208</v>
      </c>
      <c r="K14" s="12">
        <v>45</v>
      </c>
      <c r="L14" s="12">
        <v>1</v>
      </c>
      <c r="M14" s="20">
        <v>1</v>
      </c>
      <c r="N14" s="20"/>
      <c r="O14" s="10">
        <v>47</v>
      </c>
      <c r="P14" s="21">
        <v>-0.98412698412698418</v>
      </c>
      <c r="Q14" s="13">
        <v>-0.74594594594594588</v>
      </c>
      <c r="R14" s="14">
        <v>6.2013458239873337E-3</v>
      </c>
    </row>
    <row r="15" spans="1:23" ht="15" customHeight="1" x14ac:dyDescent="0.25">
      <c r="A15" s="9" t="s">
        <v>50</v>
      </c>
      <c r="B15" s="10">
        <v>88</v>
      </c>
      <c r="C15" s="10">
        <v>64</v>
      </c>
      <c r="D15" s="10">
        <v>73</v>
      </c>
      <c r="E15" s="10">
        <v>72</v>
      </c>
      <c r="F15" s="11">
        <v>33</v>
      </c>
      <c r="G15" s="11">
        <v>19</v>
      </c>
      <c r="H15" s="11">
        <v>20</v>
      </c>
      <c r="I15" s="11">
        <v>39</v>
      </c>
      <c r="J15" s="10">
        <v>111</v>
      </c>
      <c r="K15" s="12">
        <v>60</v>
      </c>
      <c r="L15" s="12">
        <v>27</v>
      </c>
      <c r="M15" s="20">
        <v>11</v>
      </c>
      <c r="N15" s="20"/>
      <c r="O15" s="10">
        <v>98</v>
      </c>
      <c r="P15" s="21">
        <v>-0.44999999999999996</v>
      </c>
      <c r="Q15" s="13">
        <v>0.36111111111111116</v>
      </c>
      <c r="R15" s="14">
        <v>1.2930465760654439E-2</v>
      </c>
    </row>
    <row r="16" spans="1:23" ht="15" customHeight="1" x14ac:dyDescent="0.25">
      <c r="A16" s="9" t="s">
        <v>51</v>
      </c>
      <c r="B16" s="10">
        <v>73</v>
      </c>
      <c r="C16" s="10">
        <v>92</v>
      </c>
      <c r="D16" s="10">
        <v>74</v>
      </c>
      <c r="E16" s="10">
        <v>163</v>
      </c>
      <c r="F16" s="11">
        <v>91</v>
      </c>
      <c r="G16" s="11">
        <v>49</v>
      </c>
      <c r="H16" s="11">
        <v>52</v>
      </c>
      <c r="I16" s="11">
        <v>54</v>
      </c>
      <c r="J16" s="10">
        <v>246</v>
      </c>
      <c r="K16" s="12">
        <v>56</v>
      </c>
      <c r="L16" s="12">
        <v>42</v>
      </c>
      <c r="M16" s="20">
        <v>9</v>
      </c>
      <c r="N16" s="20"/>
      <c r="O16" s="10">
        <v>107</v>
      </c>
      <c r="P16" s="21">
        <v>-0.82692307692307687</v>
      </c>
      <c r="Q16" s="13">
        <v>-0.44270833333333337</v>
      </c>
      <c r="R16" s="14">
        <v>1.4117957514183928E-2</v>
      </c>
    </row>
    <row r="17" spans="1:18" ht="15" customHeight="1" x14ac:dyDescent="0.25">
      <c r="A17" s="9" t="s">
        <v>52</v>
      </c>
      <c r="B17" s="10">
        <v>702</v>
      </c>
      <c r="C17" s="10">
        <v>580</v>
      </c>
      <c r="D17" s="10">
        <v>589</v>
      </c>
      <c r="E17" s="10">
        <v>509</v>
      </c>
      <c r="F17" s="11">
        <v>155</v>
      </c>
      <c r="G17" s="11">
        <v>87</v>
      </c>
      <c r="H17" s="11">
        <v>136</v>
      </c>
      <c r="I17" s="11">
        <v>215</v>
      </c>
      <c r="J17" s="10">
        <v>593</v>
      </c>
      <c r="K17" s="12">
        <v>184</v>
      </c>
      <c r="L17" s="12">
        <v>112</v>
      </c>
      <c r="M17" s="20">
        <v>83</v>
      </c>
      <c r="N17" s="20"/>
      <c r="O17" s="10">
        <v>379</v>
      </c>
      <c r="P17" s="21">
        <v>-0.38970588235294112</v>
      </c>
      <c r="Q17" s="13">
        <v>2.6455026455025621E-3</v>
      </c>
      <c r="R17" s="14">
        <v>5.0006597176408499E-2</v>
      </c>
    </row>
    <row r="18" spans="1:18" ht="15" customHeight="1" x14ac:dyDescent="0.25">
      <c r="A18" s="9" t="s">
        <v>64</v>
      </c>
      <c r="B18" s="10">
        <v>30</v>
      </c>
      <c r="C18" s="10">
        <v>43</v>
      </c>
      <c r="D18" s="10">
        <v>17</v>
      </c>
      <c r="E18" s="10">
        <v>42</v>
      </c>
      <c r="F18" s="11">
        <v>24</v>
      </c>
      <c r="G18" s="11">
        <v>12</v>
      </c>
      <c r="H18" s="11">
        <v>28</v>
      </c>
      <c r="I18" s="11">
        <v>26</v>
      </c>
      <c r="J18" s="10">
        <v>90</v>
      </c>
      <c r="K18" s="12">
        <v>24</v>
      </c>
      <c r="L18" s="12">
        <v>11</v>
      </c>
      <c r="M18" s="20">
        <v>12</v>
      </c>
      <c r="N18" s="20"/>
      <c r="O18" s="10">
        <v>47</v>
      </c>
      <c r="P18" s="21">
        <v>-0.5714285714285714</v>
      </c>
      <c r="Q18" s="13">
        <v>-0.265625</v>
      </c>
      <c r="R18" s="14">
        <v>6.2013458239873337E-3</v>
      </c>
    </row>
    <row r="19" spans="1:18" ht="15" customHeight="1" x14ac:dyDescent="0.25">
      <c r="A19" s="9" t="s">
        <v>54</v>
      </c>
      <c r="B19" s="10">
        <v>4245</v>
      </c>
      <c r="C19" s="10">
        <v>5351</v>
      </c>
      <c r="D19" s="10">
        <v>5830</v>
      </c>
      <c r="E19" s="10">
        <v>6103</v>
      </c>
      <c r="F19" s="11">
        <v>1458</v>
      </c>
      <c r="G19" s="11">
        <v>1312</v>
      </c>
      <c r="H19" s="11">
        <v>1528</v>
      </c>
      <c r="I19" s="11">
        <v>1174</v>
      </c>
      <c r="J19" s="10">
        <v>5472</v>
      </c>
      <c r="K19" s="12">
        <v>985</v>
      </c>
      <c r="L19" s="12">
        <v>1062</v>
      </c>
      <c r="M19" s="20">
        <v>1351</v>
      </c>
      <c r="N19" s="20"/>
      <c r="O19" s="10">
        <v>3398</v>
      </c>
      <c r="P19" s="21">
        <v>-0.11583769633507857</v>
      </c>
      <c r="Q19" s="13">
        <v>-0.20939972080037228</v>
      </c>
      <c r="R19" s="14">
        <v>0.44834410872146724</v>
      </c>
    </row>
    <row r="20" spans="1:18" ht="15" customHeight="1" x14ac:dyDescent="0.25">
      <c r="A20" s="9" t="s">
        <v>33</v>
      </c>
      <c r="B20" s="10">
        <v>2277</v>
      </c>
      <c r="C20" s="10">
        <v>1806</v>
      </c>
      <c r="D20" s="10">
        <v>1877</v>
      </c>
      <c r="E20" s="10">
        <v>1312</v>
      </c>
      <c r="F20" s="11">
        <v>15</v>
      </c>
      <c r="G20" s="11">
        <v>6</v>
      </c>
      <c r="H20" s="11">
        <v>20</v>
      </c>
      <c r="I20" s="11">
        <v>60</v>
      </c>
      <c r="J20" s="10">
        <v>101</v>
      </c>
      <c r="K20" s="12">
        <v>9</v>
      </c>
      <c r="L20" s="12">
        <v>21</v>
      </c>
      <c r="M20" s="20">
        <v>58</v>
      </c>
      <c r="N20" s="20"/>
      <c r="O20" s="10">
        <v>88</v>
      </c>
      <c r="P20" s="21">
        <v>1.9</v>
      </c>
      <c r="Q20" s="13">
        <v>1.1463414634146343</v>
      </c>
      <c r="R20" s="14">
        <v>1.1611030478955007E-2</v>
      </c>
    </row>
    <row r="21" spans="1:18" ht="15" customHeight="1" x14ac:dyDescent="0.25">
      <c r="A21" s="9" t="s">
        <v>65</v>
      </c>
      <c r="B21" s="10">
        <v>20</v>
      </c>
      <c r="C21" s="10">
        <v>14</v>
      </c>
      <c r="D21" s="10">
        <v>3</v>
      </c>
      <c r="E21" s="10">
        <v>7</v>
      </c>
      <c r="F21" s="11">
        <v>13</v>
      </c>
      <c r="G21" s="11">
        <v>12</v>
      </c>
      <c r="H21" s="11">
        <v>14</v>
      </c>
      <c r="I21" s="11">
        <v>23</v>
      </c>
      <c r="J21" s="10">
        <v>62</v>
      </c>
      <c r="K21" s="12">
        <v>10</v>
      </c>
      <c r="L21" s="12">
        <v>3</v>
      </c>
      <c r="M21" s="20">
        <v>9</v>
      </c>
      <c r="N21" s="20"/>
      <c r="O21" s="10">
        <v>22</v>
      </c>
      <c r="P21" s="21">
        <v>-0.3571428571428571</v>
      </c>
      <c r="Q21" s="13">
        <v>-0.4358974358974359</v>
      </c>
      <c r="R21" s="14">
        <v>2.9027576197387518E-3</v>
      </c>
    </row>
    <row r="22" spans="1:18" ht="15" customHeight="1" x14ac:dyDescent="0.25">
      <c r="A22" s="9" t="s">
        <v>56</v>
      </c>
      <c r="B22" s="10">
        <v>113</v>
      </c>
      <c r="C22" s="10">
        <v>98</v>
      </c>
      <c r="D22" s="10">
        <v>92</v>
      </c>
      <c r="E22" s="10">
        <v>102</v>
      </c>
      <c r="F22" s="11">
        <v>7</v>
      </c>
      <c r="G22" s="11">
        <v>1</v>
      </c>
      <c r="H22" s="11">
        <v>21</v>
      </c>
      <c r="I22" s="11">
        <v>40</v>
      </c>
      <c r="J22" s="10">
        <v>69</v>
      </c>
      <c r="K22" s="12">
        <v>18</v>
      </c>
      <c r="L22" s="12">
        <v>6</v>
      </c>
      <c r="M22" s="20">
        <v>14</v>
      </c>
      <c r="N22" s="20"/>
      <c r="O22" s="10">
        <v>38</v>
      </c>
      <c r="P22" s="21">
        <v>-0.33333333333333337</v>
      </c>
      <c r="Q22" s="13">
        <v>0.31034482758620685</v>
      </c>
      <c r="R22" s="14">
        <v>5.0138540704578443E-3</v>
      </c>
    </row>
    <row r="23" spans="1:18" ht="15" customHeight="1" x14ac:dyDescent="0.25">
      <c r="A23" s="9" t="s">
        <v>34</v>
      </c>
      <c r="B23" s="10">
        <v>1329</v>
      </c>
      <c r="C23" s="10">
        <v>1187</v>
      </c>
      <c r="D23" s="10">
        <v>855</v>
      </c>
      <c r="E23" s="10">
        <v>813</v>
      </c>
      <c r="F23" s="11">
        <v>166</v>
      </c>
      <c r="G23" s="11">
        <v>105</v>
      </c>
      <c r="H23" s="11">
        <v>132</v>
      </c>
      <c r="I23" s="11">
        <v>216</v>
      </c>
      <c r="J23" s="10">
        <v>619</v>
      </c>
      <c r="K23" s="12">
        <v>161</v>
      </c>
      <c r="L23" s="12">
        <v>101</v>
      </c>
      <c r="M23" s="20">
        <v>101</v>
      </c>
      <c r="N23" s="20"/>
      <c r="O23" s="10">
        <v>363</v>
      </c>
      <c r="P23" s="21">
        <v>-0.23484848484848486</v>
      </c>
      <c r="Q23" s="13">
        <v>-9.9255583126550917E-2</v>
      </c>
      <c r="R23" s="14">
        <v>4.7895500725689405E-2</v>
      </c>
    </row>
    <row r="24" spans="1:18" ht="15" customHeight="1" x14ac:dyDescent="0.25">
      <c r="A24" t="s">
        <v>35</v>
      </c>
      <c r="B24" s="16">
        <f>SUBTOTAL(109,Tabell_Kalv[2019])</f>
        <v>14891</v>
      </c>
      <c r="C24" s="16">
        <f>SUBTOTAL(109,Tabell_Kalv[2020])</f>
        <v>13468</v>
      </c>
      <c r="D24" s="16">
        <f>SUBTOTAL(109,Tabell_Kalv[2021])</f>
        <v>11499</v>
      </c>
      <c r="E24" s="16">
        <f>SUBTOTAL(109,Tabell_Kalv[2022])</f>
        <v>11474</v>
      </c>
      <c r="F24" s="16">
        <f>SUBTOTAL(109,Tabell_Kalv[Kvartal 1 2023])</f>
        <v>2815</v>
      </c>
      <c r="G24" s="16">
        <f>SUBTOTAL(109,Tabell_Kalv[Kvartal 2 2023])</f>
        <v>2454</v>
      </c>
      <c r="H24" s="16">
        <f>SUBTOTAL(109,Tabell_Kalv[Kvartal 3 2023])</f>
        <v>2730</v>
      </c>
      <c r="I24" s="16">
        <f>SUBTOTAL(109,Tabell_Kalv[Kvartal 4 2023])</f>
        <v>2978</v>
      </c>
      <c r="J24" s="16">
        <f>SUBTOTAL(109,Tabell_Kalv[2023])</f>
        <v>10977</v>
      </c>
      <c r="K24" s="16">
        <f>SUBTOTAL(109,Tabell_Kalv[Kvartal 1 2024])</f>
        <v>2823</v>
      </c>
      <c r="L24" s="16">
        <f>SUBTOTAL(109,Tabell_Kalv[Kvartal 2 2024])</f>
        <v>2474</v>
      </c>
      <c r="M24" s="16">
        <f>SUBTOTAL(109,Tabell_Kalv[Kvartal 3 2024])</f>
        <v>2282</v>
      </c>
      <c r="N24" s="16">
        <f>SUBTOTAL(109,Tabell_Kalv[Kvartal 4 2024])</f>
        <v>0</v>
      </c>
      <c r="O24" s="16">
        <f>SUBTOTAL(109,Tabell_Kalv[2024])</f>
        <v>7579</v>
      </c>
      <c r="P24" s="17">
        <f>M24/H24-1</f>
        <v>-0.16410256410256407</v>
      </c>
      <c r="Q24" s="17">
        <f>O24/SUM(F24:H24)-1</f>
        <v>-5.2506563320415034E-2</v>
      </c>
      <c r="R24" s="18">
        <f>SUBTOTAL(109,Tabell_Kalv[Procentuell andel 2024*])</f>
        <v>0.99999999999999989</v>
      </c>
    </row>
    <row r="25" spans="1:18" ht="15" customHeight="1" x14ac:dyDescent="0.25">
      <c r="A25" t="s">
        <v>66</v>
      </c>
    </row>
    <row r="26" spans="1:18" ht="15" customHeight="1" x14ac:dyDescent="0.25">
      <c r="A26" t="s">
        <v>37</v>
      </c>
    </row>
    <row r="27" spans="1:18" ht="15" customHeight="1" x14ac:dyDescent="0.25">
      <c r="A27" t="s">
        <v>67</v>
      </c>
    </row>
    <row r="28" spans="1:18" ht="15" customHeight="1" x14ac:dyDescent="0.25">
      <c r="A28" t="s">
        <v>39</v>
      </c>
    </row>
    <row r="29" spans="1:18" ht="15" customHeight="1" x14ac:dyDescent="0.25"/>
    <row r="30" spans="1:18" ht="15" customHeight="1" x14ac:dyDescent="0.25"/>
    <row r="31" spans="1:18" ht="15" customHeight="1" x14ac:dyDescent="0.25"/>
    <row r="32" spans="1:1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3CD0-5D3D-46CB-B7C6-B14D3EDAF801}">
  <sheetPr codeName="flFår">
    <pageSetUpPr fitToPage="1"/>
  </sheetPr>
  <dimension ref="A1:R92"/>
  <sheetViews>
    <sheetView workbookViewId="0">
      <selection activeCell="A2" sqref="A2"/>
    </sheetView>
  </sheetViews>
  <sheetFormatPr defaultColWidth="9.140625" defaultRowHeight="12" x14ac:dyDescent="0.2"/>
  <cols>
    <col min="1" max="1" width="27" style="23" customWidth="1"/>
    <col min="2" max="15" width="8.28515625" style="23" customWidth="1"/>
    <col min="16" max="16" width="9.28515625" style="23" customWidth="1"/>
    <col min="17" max="17" width="10.140625" style="23" customWidth="1"/>
    <col min="18" max="18" width="10" style="23" customWidth="1"/>
    <col min="19" max="16384" width="9.140625" style="23"/>
  </cols>
  <sheetData>
    <row r="1" spans="1:18" ht="92.25" customHeight="1" x14ac:dyDescent="0.25">
      <c r="A1" s="1" t="s">
        <v>68</v>
      </c>
      <c r="B1"/>
      <c r="C1" s="1"/>
      <c r="E1"/>
      <c r="F1"/>
      <c r="G1"/>
      <c r="H1"/>
      <c r="I1"/>
      <c r="J1" s="1"/>
      <c r="K1"/>
      <c r="L1"/>
      <c r="M1"/>
      <c r="N1"/>
      <c r="O1"/>
      <c r="P1"/>
      <c r="Q1"/>
      <c r="R1" s="2"/>
    </row>
    <row r="2" spans="1:18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25">
      <c r="A3" s="9" t="s">
        <v>69</v>
      </c>
      <c r="B3" s="10">
        <v>3227</v>
      </c>
      <c r="C3" s="10">
        <v>2770</v>
      </c>
      <c r="D3" s="10">
        <v>3087</v>
      </c>
      <c r="E3" s="10">
        <v>2875</v>
      </c>
      <c r="F3" s="11">
        <v>320</v>
      </c>
      <c r="G3" s="11">
        <v>319</v>
      </c>
      <c r="H3" s="11">
        <v>503</v>
      </c>
      <c r="I3" s="11">
        <v>367</v>
      </c>
      <c r="J3" s="10">
        <v>1509</v>
      </c>
      <c r="K3" s="12">
        <v>249</v>
      </c>
      <c r="L3" s="12">
        <v>356</v>
      </c>
      <c r="M3" s="12">
        <v>462</v>
      </c>
      <c r="N3" s="12"/>
      <c r="O3" s="10">
        <v>1067</v>
      </c>
      <c r="P3" s="13">
        <v>-8.1510934393638212E-2</v>
      </c>
      <c r="Q3" s="13">
        <v>-6.5674255691768879E-2</v>
      </c>
      <c r="R3" s="14">
        <v>8.319169174632381E-3</v>
      </c>
    </row>
    <row r="4" spans="1:18" ht="15" customHeight="1" x14ac:dyDescent="0.25">
      <c r="A4" s="9" t="s">
        <v>42</v>
      </c>
      <c r="B4" s="10">
        <v>1952</v>
      </c>
      <c r="C4" s="10">
        <v>2098</v>
      </c>
      <c r="D4" s="10">
        <v>1923</v>
      </c>
      <c r="E4" s="10">
        <v>1715</v>
      </c>
      <c r="F4" s="11">
        <v>525</v>
      </c>
      <c r="G4" s="11">
        <v>207</v>
      </c>
      <c r="H4" s="11">
        <v>398</v>
      </c>
      <c r="I4" s="11">
        <v>724</v>
      </c>
      <c r="J4" s="10">
        <v>1854</v>
      </c>
      <c r="K4" s="12">
        <v>358</v>
      </c>
      <c r="L4" s="12">
        <v>186</v>
      </c>
      <c r="M4" s="12">
        <v>349</v>
      </c>
      <c r="N4" s="12"/>
      <c r="O4" s="10">
        <v>893</v>
      </c>
      <c r="P4" s="13">
        <v>-0.12311557788944727</v>
      </c>
      <c r="Q4" s="13">
        <v>-0.20973451327433623</v>
      </c>
      <c r="R4" s="14">
        <v>6.9625286531834274E-3</v>
      </c>
    </row>
    <row r="5" spans="1:18" ht="15" customHeight="1" x14ac:dyDescent="0.25">
      <c r="A5" s="9" t="s">
        <v>61</v>
      </c>
      <c r="B5" s="10">
        <v>1170</v>
      </c>
      <c r="C5" s="10">
        <v>990</v>
      </c>
      <c r="D5" s="10">
        <v>1234</v>
      </c>
      <c r="E5" s="10">
        <v>1885</v>
      </c>
      <c r="F5" s="11">
        <v>265</v>
      </c>
      <c r="G5" s="11">
        <v>302</v>
      </c>
      <c r="H5" s="11">
        <v>674</v>
      </c>
      <c r="I5" s="11">
        <v>1057</v>
      </c>
      <c r="J5" s="10">
        <v>2298</v>
      </c>
      <c r="K5" s="12">
        <v>287</v>
      </c>
      <c r="L5" s="12">
        <v>117</v>
      </c>
      <c r="M5" s="12">
        <v>10</v>
      </c>
      <c r="N5" s="12"/>
      <c r="O5" s="10">
        <v>414</v>
      </c>
      <c r="P5" s="13">
        <v>-0.98516320474777452</v>
      </c>
      <c r="Q5" s="13">
        <v>-0.66639806607574537</v>
      </c>
      <c r="R5" s="14">
        <v>3.227868826895788E-3</v>
      </c>
    </row>
    <row r="6" spans="1:18" ht="15" customHeight="1" x14ac:dyDescent="0.25">
      <c r="A6" s="9" t="s">
        <v>45</v>
      </c>
      <c r="B6" s="10">
        <v>2093</v>
      </c>
      <c r="C6" s="10">
        <v>2152</v>
      </c>
      <c r="D6" s="10">
        <v>4381</v>
      </c>
      <c r="E6" s="10">
        <v>5280</v>
      </c>
      <c r="F6" s="11">
        <v>1154</v>
      </c>
      <c r="G6" s="11">
        <v>826</v>
      </c>
      <c r="H6" s="11">
        <v>1588</v>
      </c>
      <c r="I6" s="11">
        <v>1937</v>
      </c>
      <c r="J6" s="10">
        <v>5505</v>
      </c>
      <c r="K6" s="12">
        <v>1036</v>
      </c>
      <c r="L6" s="12">
        <v>856</v>
      </c>
      <c r="M6" s="12">
        <v>1412</v>
      </c>
      <c r="N6" s="12"/>
      <c r="O6" s="10">
        <v>3304</v>
      </c>
      <c r="P6" s="13">
        <v>-0.11083123425692698</v>
      </c>
      <c r="Q6" s="13">
        <v>-7.3991031390134521E-2</v>
      </c>
      <c r="R6" s="14">
        <v>2.5760576338318079E-2</v>
      </c>
    </row>
    <row r="7" spans="1:18" ht="15" customHeight="1" x14ac:dyDescent="0.25">
      <c r="A7" s="9" t="s">
        <v>47</v>
      </c>
      <c r="B7" s="10">
        <v>1254</v>
      </c>
      <c r="C7" s="10">
        <v>1125</v>
      </c>
      <c r="D7" s="10">
        <v>1135</v>
      </c>
      <c r="E7" s="10">
        <v>1107</v>
      </c>
      <c r="F7" s="11">
        <v>162</v>
      </c>
      <c r="G7" s="11">
        <v>296</v>
      </c>
      <c r="H7" s="11">
        <v>315</v>
      </c>
      <c r="I7" s="11">
        <v>262</v>
      </c>
      <c r="J7" s="10">
        <v>1035</v>
      </c>
      <c r="K7" s="12">
        <v>170</v>
      </c>
      <c r="L7" s="12">
        <v>225</v>
      </c>
      <c r="M7" s="12">
        <v>199</v>
      </c>
      <c r="N7" s="12"/>
      <c r="O7" s="10">
        <v>594</v>
      </c>
      <c r="P7" s="13">
        <v>-0.36825396825396828</v>
      </c>
      <c r="Q7" s="13">
        <v>-0.23156532988357048</v>
      </c>
      <c r="R7" s="14">
        <v>4.6312900559809132E-3</v>
      </c>
    </row>
    <row r="8" spans="1:18" ht="15" customHeight="1" x14ac:dyDescent="0.25">
      <c r="A8" s="9" t="s">
        <v>23</v>
      </c>
      <c r="B8" s="10">
        <v>6049</v>
      </c>
      <c r="C8" s="10">
        <v>2207</v>
      </c>
      <c r="D8" s="10">
        <v>1017</v>
      </c>
      <c r="E8" s="10">
        <v>1546</v>
      </c>
      <c r="F8" s="11">
        <v>349</v>
      </c>
      <c r="G8" s="11">
        <v>229</v>
      </c>
      <c r="H8" s="11">
        <v>381</v>
      </c>
      <c r="I8" s="11">
        <v>1063</v>
      </c>
      <c r="J8" s="10">
        <v>2022</v>
      </c>
      <c r="K8" s="12">
        <v>287</v>
      </c>
      <c r="L8" s="12">
        <v>280</v>
      </c>
      <c r="M8" s="12">
        <v>603</v>
      </c>
      <c r="N8" s="12"/>
      <c r="O8" s="10">
        <v>1170</v>
      </c>
      <c r="P8" s="13">
        <v>0.58267716535433078</v>
      </c>
      <c r="Q8" s="13">
        <v>0.22002085505735147</v>
      </c>
      <c r="R8" s="14">
        <v>9.122237989053315E-3</v>
      </c>
    </row>
    <row r="9" spans="1:18" ht="15" customHeight="1" x14ac:dyDescent="0.25">
      <c r="A9" s="9" t="s">
        <v>48</v>
      </c>
      <c r="B9" s="10">
        <v>1117</v>
      </c>
      <c r="C9" s="10">
        <v>1507</v>
      </c>
      <c r="D9" s="10">
        <v>1716</v>
      </c>
      <c r="E9" s="10">
        <v>1512</v>
      </c>
      <c r="F9" s="11">
        <v>231</v>
      </c>
      <c r="G9" s="11">
        <v>168</v>
      </c>
      <c r="H9" s="11">
        <v>412</v>
      </c>
      <c r="I9" s="11">
        <v>723</v>
      </c>
      <c r="J9" s="10">
        <v>1534</v>
      </c>
      <c r="K9" s="12">
        <v>330</v>
      </c>
      <c r="L9" s="12">
        <v>244</v>
      </c>
      <c r="M9" s="12">
        <v>553</v>
      </c>
      <c r="N9" s="12"/>
      <c r="O9" s="10">
        <v>1127</v>
      </c>
      <c r="P9" s="13">
        <v>0.34223300970873782</v>
      </c>
      <c r="Q9" s="13">
        <v>0.38964241676942057</v>
      </c>
      <c r="R9" s="14">
        <v>8.7869762509940903E-3</v>
      </c>
    </row>
    <row r="10" spans="1:18" ht="15" customHeight="1" x14ac:dyDescent="0.25">
      <c r="A10" s="9" t="s">
        <v>25</v>
      </c>
      <c r="B10" s="10">
        <v>23249</v>
      </c>
      <c r="C10" s="10">
        <v>20680</v>
      </c>
      <c r="D10" s="10">
        <v>21982</v>
      </c>
      <c r="E10" s="10">
        <v>33808</v>
      </c>
      <c r="F10" s="11">
        <v>4250</v>
      </c>
      <c r="G10" s="11">
        <v>6352</v>
      </c>
      <c r="H10" s="11">
        <v>8421</v>
      </c>
      <c r="I10" s="11">
        <v>8502</v>
      </c>
      <c r="J10" s="10">
        <v>27525</v>
      </c>
      <c r="K10" s="12">
        <v>3928</v>
      </c>
      <c r="L10" s="12">
        <v>5289</v>
      </c>
      <c r="M10" s="12">
        <v>6464</v>
      </c>
      <c r="N10" s="12"/>
      <c r="O10" s="10">
        <v>15681</v>
      </c>
      <c r="P10" s="13">
        <v>-0.23239520247001544</v>
      </c>
      <c r="Q10" s="13">
        <v>-0.17568206907427852</v>
      </c>
      <c r="R10" s="14">
        <v>0.1222613794071325</v>
      </c>
    </row>
    <row r="11" spans="1:18" ht="15" customHeight="1" x14ac:dyDescent="0.25">
      <c r="A11" s="9" t="s">
        <v>26</v>
      </c>
      <c r="B11" s="10">
        <v>20300</v>
      </c>
      <c r="C11" s="10">
        <v>11043</v>
      </c>
      <c r="D11" s="10">
        <v>11988</v>
      </c>
      <c r="E11" s="10">
        <v>4730</v>
      </c>
      <c r="F11" s="11">
        <v>2113</v>
      </c>
      <c r="G11" s="11">
        <v>3573</v>
      </c>
      <c r="H11" s="11">
        <v>4751</v>
      </c>
      <c r="I11" s="11">
        <v>4491</v>
      </c>
      <c r="J11" s="10">
        <v>14928</v>
      </c>
      <c r="K11" s="12">
        <v>2851</v>
      </c>
      <c r="L11" s="12">
        <v>4148</v>
      </c>
      <c r="M11" s="12">
        <v>5025</v>
      </c>
      <c r="N11" s="12"/>
      <c r="O11" s="10">
        <v>12024</v>
      </c>
      <c r="P11" s="13">
        <v>5.7672069038097185E-2</v>
      </c>
      <c r="Q11" s="13">
        <v>0.15205518827249209</v>
      </c>
      <c r="R11" s="14">
        <v>9.3748538102886372E-2</v>
      </c>
    </row>
    <row r="12" spans="1:18" ht="15" customHeight="1" x14ac:dyDescent="0.25">
      <c r="A12" s="9" t="s">
        <v>70</v>
      </c>
      <c r="B12" s="10">
        <v>5362</v>
      </c>
      <c r="C12" s="10">
        <v>5312</v>
      </c>
      <c r="D12" s="10">
        <v>5662</v>
      </c>
      <c r="E12" s="10">
        <v>6303</v>
      </c>
      <c r="F12" s="11">
        <v>808</v>
      </c>
      <c r="G12" s="11">
        <v>690</v>
      </c>
      <c r="H12" s="11">
        <v>1762</v>
      </c>
      <c r="I12" s="11">
        <v>3541</v>
      </c>
      <c r="J12" s="10">
        <v>6801</v>
      </c>
      <c r="K12" s="12">
        <v>744</v>
      </c>
      <c r="L12" s="12">
        <v>562</v>
      </c>
      <c r="M12" s="12">
        <v>1326</v>
      </c>
      <c r="N12" s="12"/>
      <c r="O12" s="10">
        <v>2632</v>
      </c>
      <c r="P12" s="13">
        <v>-0.24744608399545975</v>
      </c>
      <c r="Q12" s="13">
        <v>-0.19263803680981595</v>
      </c>
      <c r="R12" s="14">
        <v>2.0521137083066944E-2</v>
      </c>
    </row>
    <row r="13" spans="1:18" ht="15" customHeight="1" x14ac:dyDescent="0.25">
      <c r="A13" s="9" t="s">
        <v>71</v>
      </c>
      <c r="B13" s="10">
        <v>3664</v>
      </c>
      <c r="C13" s="10">
        <v>3842</v>
      </c>
      <c r="D13" s="10">
        <v>3621</v>
      </c>
      <c r="E13" s="10">
        <v>3650</v>
      </c>
      <c r="F13" s="11">
        <v>324</v>
      </c>
      <c r="G13" s="11">
        <v>198</v>
      </c>
      <c r="H13" s="11">
        <v>996</v>
      </c>
      <c r="I13" s="11">
        <v>1821</v>
      </c>
      <c r="J13" s="10">
        <v>3339</v>
      </c>
      <c r="K13" s="12">
        <v>205</v>
      </c>
      <c r="L13" s="12">
        <v>280</v>
      </c>
      <c r="M13" s="12">
        <v>794</v>
      </c>
      <c r="N13" s="12"/>
      <c r="O13" s="10">
        <v>1279</v>
      </c>
      <c r="P13" s="13">
        <v>-0.20281124497991965</v>
      </c>
      <c r="Q13" s="13">
        <v>-0.15744400527009228</v>
      </c>
      <c r="R13" s="14">
        <v>9.9720875111104189E-3</v>
      </c>
    </row>
    <row r="14" spans="1:18" ht="15" customHeight="1" x14ac:dyDescent="0.25">
      <c r="A14" s="9" t="s">
        <v>50</v>
      </c>
      <c r="B14" s="10">
        <v>3370</v>
      </c>
      <c r="C14" s="10">
        <v>3126</v>
      </c>
      <c r="D14" s="10">
        <v>3102</v>
      </c>
      <c r="E14" s="10">
        <v>3271</v>
      </c>
      <c r="F14" s="11">
        <v>174</v>
      </c>
      <c r="G14" s="11">
        <v>306</v>
      </c>
      <c r="H14" s="11">
        <v>1146</v>
      </c>
      <c r="I14" s="11">
        <v>1406</v>
      </c>
      <c r="J14" s="10">
        <v>3032</v>
      </c>
      <c r="K14" s="12">
        <v>223</v>
      </c>
      <c r="L14" s="12">
        <v>401</v>
      </c>
      <c r="M14" s="12">
        <v>1028</v>
      </c>
      <c r="N14" s="12"/>
      <c r="O14" s="10">
        <v>1652</v>
      </c>
      <c r="P14" s="13">
        <v>-0.10296684118673649</v>
      </c>
      <c r="Q14" s="13">
        <v>1.5990159901599021E-2</v>
      </c>
      <c r="R14" s="14">
        <v>1.2880288169159039E-2</v>
      </c>
    </row>
    <row r="15" spans="1:18" ht="15" customHeight="1" x14ac:dyDescent="0.25">
      <c r="A15" s="9" t="s">
        <v>30</v>
      </c>
      <c r="B15" s="10">
        <v>33051</v>
      </c>
      <c r="C15" s="10">
        <v>30838</v>
      </c>
      <c r="D15" s="10">
        <v>29622</v>
      </c>
      <c r="E15" s="10">
        <v>28380</v>
      </c>
      <c r="F15" s="11">
        <v>5479</v>
      </c>
      <c r="G15" s="11">
        <v>7264</v>
      </c>
      <c r="H15" s="11">
        <v>7950</v>
      </c>
      <c r="I15" s="11">
        <v>9568</v>
      </c>
      <c r="J15" s="10">
        <v>30261</v>
      </c>
      <c r="K15" s="12">
        <v>5163</v>
      </c>
      <c r="L15" s="12">
        <v>6253</v>
      </c>
      <c r="M15" s="12">
        <v>7351</v>
      </c>
      <c r="N15" s="12"/>
      <c r="O15" s="10">
        <v>18767</v>
      </c>
      <c r="P15" s="13">
        <v>-7.534591194968554E-2</v>
      </c>
      <c r="Q15" s="13">
        <v>-9.3074952882617357E-2</v>
      </c>
      <c r="R15" s="14">
        <v>0.14632225670133636</v>
      </c>
    </row>
    <row r="16" spans="1:18" ht="15" customHeight="1" x14ac:dyDescent="0.25">
      <c r="A16" s="9" t="s">
        <v>31</v>
      </c>
      <c r="B16" s="10">
        <v>3442</v>
      </c>
      <c r="C16" s="10">
        <v>3049</v>
      </c>
      <c r="D16" s="10">
        <v>3443</v>
      </c>
      <c r="E16" s="10">
        <v>3344</v>
      </c>
      <c r="F16" s="11">
        <v>730</v>
      </c>
      <c r="G16" s="11">
        <v>653</v>
      </c>
      <c r="H16" s="11">
        <v>1007</v>
      </c>
      <c r="I16" s="11">
        <v>1051</v>
      </c>
      <c r="J16" s="10">
        <v>3441</v>
      </c>
      <c r="K16" s="12">
        <v>721</v>
      </c>
      <c r="L16" s="12">
        <v>321</v>
      </c>
      <c r="M16" s="12">
        <v>717</v>
      </c>
      <c r="N16" s="12"/>
      <c r="O16" s="10">
        <v>1759</v>
      </c>
      <c r="P16" s="13">
        <v>-0.28798411122144985</v>
      </c>
      <c r="Q16" s="13">
        <v>-0.26401673640167367</v>
      </c>
      <c r="R16" s="14">
        <v>1.3714544122004086E-2</v>
      </c>
    </row>
    <row r="17" spans="1:18" ht="15" customHeight="1" x14ac:dyDescent="0.25">
      <c r="A17" s="9" t="s">
        <v>64</v>
      </c>
      <c r="B17" s="10">
        <v>2461</v>
      </c>
      <c r="C17" s="10">
        <v>2274</v>
      </c>
      <c r="D17" s="10">
        <v>2344</v>
      </c>
      <c r="E17" s="10">
        <v>2966</v>
      </c>
      <c r="F17" s="11">
        <v>315</v>
      </c>
      <c r="G17" s="11">
        <v>299</v>
      </c>
      <c r="H17" s="11">
        <v>1058</v>
      </c>
      <c r="I17" s="11">
        <v>2038</v>
      </c>
      <c r="J17" s="10">
        <v>3710</v>
      </c>
      <c r="K17" s="12">
        <v>388</v>
      </c>
      <c r="L17" s="12">
        <v>290</v>
      </c>
      <c r="M17" s="12">
        <v>936</v>
      </c>
      <c r="N17" s="12"/>
      <c r="O17" s="10">
        <v>1614</v>
      </c>
      <c r="P17" s="13">
        <v>-0.11531190926275992</v>
      </c>
      <c r="Q17" s="13">
        <v>-3.4688995215310992E-2</v>
      </c>
      <c r="R17" s="14">
        <v>1.2584010354129958E-2</v>
      </c>
    </row>
    <row r="18" spans="1:18" ht="15" customHeight="1" x14ac:dyDescent="0.25">
      <c r="A18" s="9" t="s">
        <v>54</v>
      </c>
      <c r="B18" s="10">
        <v>87275</v>
      </c>
      <c r="C18" s="10">
        <v>95301</v>
      </c>
      <c r="D18" s="10">
        <v>87156</v>
      </c>
      <c r="E18" s="10">
        <v>84407</v>
      </c>
      <c r="F18" s="11">
        <v>14398</v>
      </c>
      <c r="G18" s="11">
        <v>19617</v>
      </c>
      <c r="H18" s="11">
        <v>24576</v>
      </c>
      <c r="I18" s="11">
        <v>24401</v>
      </c>
      <c r="J18" s="10">
        <v>82992</v>
      </c>
      <c r="K18" s="12">
        <v>12814</v>
      </c>
      <c r="L18" s="12">
        <v>16049</v>
      </c>
      <c r="M18" s="12">
        <v>20936</v>
      </c>
      <c r="N18" s="12"/>
      <c r="O18" s="10">
        <v>49799</v>
      </c>
      <c r="P18" s="13">
        <v>-0.14811197916666663</v>
      </c>
      <c r="Q18" s="13">
        <v>-0.15005717601679436</v>
      </c>
      <c r="R18" s="14">
        <v>0.38827207659561197</v>
      </c>
    </row>
    <row r="19" spans="1:18" ht="15" customHeight="1" x14ac:dyDescent="0.25">
      <c r="A19" s="9" t="s">
        <v>72</v>
      </c>
      <c r="B19" s="10">
        <v>10512</v>
      </c>
      <c r="C19" s="10">
        <v>10399</v>
      </c>
      <c r="D19" s="10">
        <v>9746</v>
      </c>
      <c r="E19" s="10">
        <v>8704</v>
      </c>
      <c r="F19" s="11">
        <v>1709</v>
      </c>
      <c r="G19" s="11">
        <v>1021</v>
      </c>
      <c r="H19" s="11">
        <v>2596</v>
      </c>
      <c r="I19" s="11">
        <v>2937</v>
      </c>
      <c r="J19" s="10">
        <v>8263</v>
      </c>
      <c r="K19" s="12">
        <v>1363</v>
      </c>
      <c r="L19" s="12">
        <v>851</v>
      </c>
      <c r="M19" s="12">
        <v>1984</v>
      </c>
      <c r="N19" s="12"/>
      <c r="O19" s="10">
        <v>4198</v>
      </c>
      <c r="P19" s="13">
        <v>-0.23574730354391371</v>
      </c>
      <c r="Q19" s="13">
        <v>-0.21179121291776193</v>
      </c>
      <c r="R19" s="14">
        <v>3.2730901776107532E-2</v>
      </c>
    </row>
    <row r="20" spans="1:18" ht="15" customHeight="1" x14ac:dyDescent="0.25">
      <c r="A20" s="9" t="s">
        <v>55</v>
      </c>
      <c r="B20" s="10">
        <v>916</v>
      </c>
      <c r="C20" s="10">
        <v>949</v>
      </c>
      <c r="D20" s="10">
        <v>1133</v>
      </c>
      <c r="E20" s="10">
        <v>1019</v>
      </c>
      <c r="F20" s="11">
        <v>157</v>
      </c>
      <c r="G20" s="11">
        <v>109</v>
      </c>
      <c r="H20" s="11">
        <v>404</v>
      </c>
      <c r="I20" s="11">
        <v>447</v>
      </c>
      <c r="J20" s="10">
        <v>1117</v>
      </c>
      <c r="K20" s="12">
        <v>222</v>
      </c>
      <c r="L20" s="12">
        <v>131</v>
      </c>
      <c r="M20" s="12">
        <v>199</v>
      </c>
      <c r="N20" s="12"/>
      <c r="O20" s="10">
        <v>552</v>
      </c>
      <c r="P20" s="13">
        <v>-0.50742574257425743</v>
      </c>
      <c r="Q20" s="13">
        <v>-0.17611940298507467</v>
      </c>
      <c r="R20" s="14">
        <v>4.3038251025277179E-3</v>
      </c>
    </row>
    <row r="21" spans="1:18" ht="15" customHeight="1" x14ac:dyDescent="0.25">
      <c r="A21" s="9" t="s">
        <v>73</v>
      </c>
      <c r="B21" s="10">
        <v>2054</v>
      </c>
      <c r="C21" s="10">
        <v>2068</v>
      </c>
      <c r="D21" s="10">
        <v>2178</v>
      </c>
      <c r="E21" s="10">
        <v>2468</v>
      </c>
      <c r="F21" s="11">
        <v>225</v>
      </c>
      <c r="G21" s="11"/>
      <c r="H21" s="11"/>
      <c r="I21" s="11">
        <v>62</v>
      </c>
      <c r="J21" s="10">
        <v>287</v>
      </c>
      <c r="K21" s="12">
        <v>95</v>
      </c>
      <c r="L21" s="12">
        <v>144</v>
      </c>
      <c r="M21" s="12">
        <v>202</v>
      </c>
      <c r="N21" s="12"/>
      <c r="O21" s="10">
        <v>441</v>
      </c>
      <c r="P21" s="13" t="s">
        <v>63</v>
      </c>
      <c r="Q21" s="13">
        <v>0.96</v>
      </c>
      <c r="R21" s="14">
        <v>3.4383820112585568E-3</v>
      </c>
    </row>
    <row r="22" spans="1:18" ht="15" customHeight="1" x14ac:dyDescent="0.25">
      <c r="A22" s="9" t="s">
        <v>74</v>
      </c>
      <c r="B22" s="10">
        <v>923</v>
      </c>
      <c r="C22" s="10">
        <v>1147</v>
      </c>
      <c r="D22" s="10">
        <v>1197</v>
      </c>
      <c r="E22" s="10">
        <v>1186</v>
      </c>
      <c r="F22" s="11">
        <v>141</v>
      </c>
      <c r="G22" s="11">
        <v>42</v>
      </c>
      <c r="H22" s="11">
        <v>244</v>
      </c>
      <c r="I22" s="11">
        <v>573</v>
      </c>
      <c r="J22" s="10">
        <v>1000</v>
      </c>
      <c r="K22" s="12">
        <v>160</v>
      </c>
      <c r="L22" s="12">
        <v>76</v>
      </c>
      <c r="M22" s="12">
        <v>272</v>
      </c>
      <c r="N22" s="12"/>
      <c r="O22" s="10">
        <v>508</v>
      </c>
      <c r="P22" s="13">
        <v>0.11475409836065564</v>
      </c>
      <c r="Q22" s="13">
        <v>0.18969555035128804</v>
      </c>
      <c r="R22" s="14">
        <v>3.9607665798624646E-3</v>
      </c>
    </row>
    <row r="23" spans="1:18" ht="15" customHeight="1" x14ac:dyDescent="0.25">
      <c r="A23" s="9" t="s">
        <v>65</v>
      </c>
      <c r="B23" s="10">
        <v>1320</v>
      </c>
      <c r="C23" s="10">
        <v>1567</v>
      </c>
      <c r="D23" s="10">
        <v>1425</v>
      </c>
      <c r="E23" s="10">
        <v>1174</v>
      </c>
      <c r="F23" s="11">
        <v>162</v>
      </c>
      <c r="G23" s="11">
        <v>34</v>
      </c>
      <c r="H23" s="11">
        <v>350</v>
      </c>
      <c r="I23" s="11">
        <v>698</v>
      </c>
      <c r="J23" s="10">
        <v>1244</v>
      </c>
      <c r="K23" s="12">
        <v>111</v>
      </c>
      <c r="L23" s="12">
        <v>19</v>
      </c>
      <c r="M23" s="12">
        <v>338</v>
      </c>
      <c r="N23" s="12"/>
      <c r="O23" s="10">
        <v>468</v>
      </c>
      <c r="P23" s="13">
        <v>-3.4285714285714253E-2</v>
      </c>
      <c r="Q23" s="13">
        <v>-0.1428571428571429</v>
      </c>
      <c r="R23" s="14">
        <v>3.6488951956213257E-3</v>
      </c>
    </row>
    <row r="24" spans="1:18" ht="15" customHeight="1" x14ac:dyDescent="0.25">
      <c r="A24" s="9" t="s">
        <v>56</v>
      </c>
      <c r="B24" s="10">
        <v>1574</v>
      </c>
      <c r="C24" s="10">
        <v>1531</v>
      </c>
      <c r="D24" s="10">
        <v>1396</v>
      </c>
      <c r="E24" s="10">
        <v>1047</v>
      </c>
      <c r="F24" s="11">
        <v>117</v>
      </c>
      <c r="G24" s="11">
        <v>65</v>
      </c>
      <c r="H24" s="11">
        <v>341</v>
      </c>
      <c r="I24" s="11">
        <v>517</v>
      </c>
      <c r="J24" s="10">
        <v>1040</v>
      </c>
      <c r="K24" s="12">
        <v>121</v>
      </c>
      <c r="L24" s="12">
        <v>65</v>
      </c>
      <c r="M24" s="12">
        <v>239</v>
      </c>
      <c r="N24" s="12"/>
      <c r="O24" s="10">
        <v>425</v>
      </c>
      <c r="P24" s="13">
        <v>-0.29912023460410553</v>
      </c>
      <c r="Q24" s="13">
        <v>-0.18738049713193117</v>
      </c>
      <c r="R24" s="14">
        <v>3.3136334575621013E-3</v>
      </c>
    </row>
    <row r="25" spans="1:18" ht="15" customHeight="1" x14ac:dyDescent="0.25">
      <c r="A25" s="9" t="s">
        <v>75</v>
      </c>
      <c r="B25" s="10">
        <v>1155</v>
      </c>
      <c r="C25" s="10">
        <v>1286</v>
      </c>
      <c r="D25" s="10">
        <v>1410</v>
      </c>
      <c r="E25" s="10">
        <v>1457</v>
      </c>
      <c r="F25" s="11">
        <v>168</v>
      </c>
      <c r="G25" s="11">
        <v>153</v>
      </c>
      <c r="H25" s="11">
        <v>503</v>
      </c>
      <c r="I25" s="11">
        <v>813</v>
      </c>
      <c r="J25" s="10">
        <v>1637</v>
      </c>
      <c r="K25" s="12">
        <v>157</v>
      </c>
      <c r="L25" s="12">
        <v>106</v>
      </c>
      <c r="M25" s="12">
        <v>391</v>
      </c>
      <c r="N25" s="12"/>
      <c r="O25" s="10">
        <v>654</v>
      </c>
      <c r="P25" s="13">
        <v>-0.22266401590457252</v>
      </c>
      <c r="Q25" s="13">
        <v>-0.2063106796116505</v>
      </c>
      <c r="R25" s="14">
        <v>5.0990971323426216E-3</v>
      </c>
    </row>
    <row r="26" spans="1:18" ht="15" customHeight="1" x14ac:dyDescent="0.25">
      <c r="A26" s="9" t="s">
        <v>76</v>
      </c>
      <c r="B26" s="10">
        <v>1073</v>
      </c>
      <c r="C26" s="10">
        <v>1186</v>
      </c>
      <c r="D26" s="10">
        <v>1062</v>
      </c>
      <c r="E26" s="10">
        <v>952</v>
      </c>
      <c r="F26" s="11">
        <v>167</v>
      </c>
      <c r="G26" s="11">
        <v>111</v>
      </c>
      <c r="H26" s="11">
        <v>231</v>
      </c>
      <c r="I26" s="11">
        <v>394</v>
      </c>
      <c r="J26" s="10">
        <v>903</v>
      </c>
      <c r="K26" s="12">
        <v>99</v>
      </c>
      <c r="L26" s="12">
        <v>104</v>
      </c>
      <c r="M26" s="12">
        <v>162</v>
      </c>
      <c r="N26" s="12"/>
      <c r="O26" s="10">
        <v>365</v>
      </c>
      <c r="P26" s="13">
        <v>-0.29870129870129869</v>
      </c>
      <c r="Q26" s="13">
        <v>-0.28290766208251472</v>
      </c>
      <c r="R26" s="14">
        <v>2.845826381200393E-3</v>
      </c>
    </row>
    <row r="27" spans="1:18" ht="15" customHeight="1" x14ac:dyDescent="0.25">
      <c r="A27" s="9" t="s">
        <v>77</v>
      </c>
      <c r="B27" s="10">
        <v>3430</v>
      </c>
      <c r="C27" s="10">
        <v>4342</v>
      </c>
      <c r="D27" s="10">
        <v>4327</v>
      </c>
      <c r="E27" s="10">
        <v>3950</v>
      </c>
      <c r="F27" s="11">
        <v>497</v>
      </c>
      <c r="G27" s="11">
        <v>462</v>
      </c>
      <c r="H27" s="11">
        <v>1096</v>
      </c>
      <c r="I27" s="11">
        <v>1914</v>
      </c>
      <c r="J27" s="10">
        <v>3969</v>
      </c>
      <c r="K27" s="12">
        <v>406</v>
      </c>
      <c r="L27" s="12">
        <v>319</v>
      </c>
      <c r="M27" s="12">
        <v>977</v>
      </c>
      <c r="N27" s="12"/>
      <c r="O27" s="10">
        <v>1702</v>
      </c>
      <c r="P27" s="13">
        <v>-0.10857664233576647</v>
      </c>
      <c r="Q27" s="13">
        <v>-0.1717761557177615</v>
      </c>
      <c r="R27" s="14">
        <v>1.3270127399460463E-2</v>
      </c>
    </row>
    <row r="28" spans="1:18" ht="15" customHeight="1" x14ac:dyDescent="0.25">
      <c r="A28" s="9" t="s">
        <v>34</v>
      </c>
      <c r="B28" s="10">
        <v>29715</v>
      </c>
      <c r="C28" s="10">
        <v>27728</v>
      </c>
      <c r="D28" s="10">
        <v>22833</v>
      </c>
      <c r="E28" s="10">
        <v>20086</v>
      </c>
      <c r="F28" s="11">
        <v>2194</v>
      </c>
      <c r="G28" s="11">
        <v>1754</v>
      </c>
      <c r="H28" s="11">
        <v>4822</v>
      </c>
      <c r="I28" s="11">
        <v>9116</v>
      </c>
      <c r="J28" s="10">
        <v>17886</v>
      </c>
      <c r="K28" s="12">
        <v>1523</v>
      </c>
      <c r="L28" s="12">
        <v>1081</v>
      </c>
      <c r="M28" s="12">
        <v>2565</v>
      </c>
      <c r="N28" s="12"/>
      <c r="O28" s="10">
        <v>5169</v>
      </c>
      <c r="P28" s="13">
        <v>-0.4680630443799253</v>
      </c>
      <c r="Q28" s="13">
        <v>-0.41060433295324972</v>
      </c>
      <c r="R28" s="14">
        <v>4.0301579628561179E-2</v>
      </c>
    </row>
    <row r="29" spans="1:18" ht="15" customHeight="1" x14ac:dyDescent="0.25">
      <c r="A29" t="s">
        <v>35</v>
      </c>
      <c r="B29" s="16">
        <f>SUBTOTAL(109,Tabell_Får[2019])</f>
        <v>251708</v>
      </c>
      <c r="C29" s="16">
        <f>SUBTOTAL(109,Tabell_Får[2020])</f>
        <v>240517</v>
      </c>
      <c r="D29" s="16">
        <f>SUBTOTAL(109,Tabell_Får[2021])</f>
        <v>230120</v>
      </c>
      <c r="E29" s="16">
        <f>SUBTOTAL(109,Tabell_Får[2022])</f>
        <v>228822</v>
      </c>
      <c r="F29" s="16">
        <f>SUBTOTAL(109,Tabell_Får[Kvartal 1 2023])</f>
        <v>37134</v>
      </c>
      <c r="G29" s="16">
        <f>SUBTOTAL(109,Tabell_Får[Kvartal 2 2023])</f>
        <v>45050</v>
      </c>
      <c r="H29" s="16">
        <f>SUBTOTAL(109,Tabell_Får[Kvartal 3 2023])</f>
        <v>66525</v>
      </c>
      <c r="I29" s="16">
        <f>SUBTOTAL(109,Tabell_Får[Kvartal 4 2023])</f>
        <v>80423</v>
      </c>
      <c r="J29" s="16">
        <f>SUBTOTAL(109,Tabell_Får[2023])</f>
        <v>229132</v>
      </c>
      <c r="K29" s="16">
        <f>SUBTOTAL(109,Tabell_Får[Kvartal 1 2024])</f>
        <v>34011</v>
      </c>
      <c r="L29" s="16">
        <f>SUBTOTAL(109,Tabell_Får[Kvartal 2 2024])</f>
        <v>38753</v>
      </c>
      <c r="M29" s="16">
        <f>SUBTOTAL(109,Tabell_Får[Kvartal 3 2024])</f>
        <v>55494</v>
      </c>
      <c r="N29" s="16">
        <f>SUBTOTAL(109,Tabell_Får[Kvartal 4 2024])</f>
        <v>0</v>
      </c>
      <c r="O29" s="16">
        <f>SUBTOTAL(109,Tabell_Får[2024])</f>
        <v>128258</v>
      </c>
      <c r="P29" s="17">
        <f>M29/H29-1</f>
        <v>-0.16581736189402485</v>
      </c>
      <c r="Q29" s="17">
        <f>O29/SUM(F29:H29)-1</f>
        <v>-0.13752361995575246</v>
      </c>
      <c r="R29" s="18">
        <f>SUBTOTAL(109,Tabell_Får[Procentuell andel 2024*])</f>
        <v>0.99999999999999967</v>
      </c>
    </row>
    <row r="30" spans="1:18" ht="15" customHeight="1" x14ac:dyDescent="0.2">
      <c r="A30" s="23" t="s">
        <v>78</v>
      </c>
    </row>
    <row r="31" spans="1:18" ht="15" customHeight="1" x14ac:dyDescent="0.2">
      <c r="A31" s="23" t="s">
        <v>37</v>
      </c>
    </row>
    <row r="32" spans="1:18" ht="15" customHeight="1" x14ac:dyDescent="0.2">
      <c r="A32" s="23" t="s">
        <v>79</v>
      </c>
    </row>
    <row r="33" spans="1:1" ht="15" customHeight="1" x14ac:dyDescent="0.2">
      <c r="A33" s="23" t="s">
        <v>39</v>
      </c>
    </row>
    <row r="34" spans="1:1" ht="15" customHeight="1" x14ac:dyDescent="0.2"/>
    <row r="35" spans="1:1" ht="15" customHeight="1" x14ac:dyDescent="0.2"/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  <row r="43" spans="1:1" ht="15" customHeight="1" x14ac:dyDescent="0.2"/>
    <row r="44" spans="1:1" ht="15" customHeight="1" x14ac:dyDescent="0.2"/>
    <row r="45" spans="1:1" ht="15" customHeight="1" x14ac:dyDescent="0.2"/>
    <row r="46" spans="1:1" ht="15" customHeight="1" x14ac:dyDescent="0.2"/>
    <row r="47" spans="1:1" ht="15" customHeight="1" x14ac:dyDescent="0.2"/>
    <row r="48" spans="1: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dataConsolidate/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57D2-2BCB-4B4C-A4ED-1589635AE52E}">
  <sheetPr codeName="flHäst">
    <pageSetUpPr fitToPage="1"/>
  </sheetPr>
  <dimension ref="A1:R92"/>
  <sheetViews>
    <sheetView workbookViewId="0">
      <selection activeCell="A2" sqref="A2"/>
    </sheetView>
  </sheetViews>
  <sheetFormatPr defaultColWidth="9.140625" defaultRowHeight="12" x14ac:dyDescent="0.2"/>
  <cols>
    <col min="1" max="1" width="27" style="23" customWidth="1"/>
    <col min="2" max="15" width="8.28515625" style="23" customWidth="1"/>
    <col min="16" max="16" width="9.28515625" style="23" customWidth="1"/>
    <col min="17" max="17" width="10.140625" style="23" customWidth="1"/>
    <col min="18" max="18" width="10" style="23" customWidth="1"/>
    <col min="19" max="16384" width="9.140625" style="23"/>
  </cols>
  <sheetData>
    <row r="1" spans="1:18" ht="92.25" customHeight="1" x14ac:dyDescent="0.25">
      <c r="A1" s="1" t="s">
        <v>80</v>
      </c>
      <c r="B1"/>
      <c r="C1" s="1"/>
      <c r="E1"/>
      <c r="F1"/>
      <c r="G1"/>
      <c r="H1"/>
      <c r="I1"/>
      <c r="J1" s="1"/>
      <c r="K1"/>
      <c r="L1"/>
      <c r="M1"/>
      <c r="N1"/>
      <c r="O1"/>
      <c r="P1"/>
      <c r="Q1"/>
      <c r="R1" s="2"/>
    </row>
    <row r="2" spans="1:18" ht="4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  <c r="P2" s="6" t="s">
        <v>16</v>
      </c>
      <c r="Q2" s="6" t="s">
        <v>17</v>
      </c>
      <c r="R2" s="7" t="s">
        <v>18</v>
      </c>
    </row>
    <row r="3" spans="1:18" ht="15" customHeight="1" x14ac:dyDescent="0.25">
      <c r="A3" s="9" t="s">
        <v>61</v>
      </c>
      <c r="B3" s="10">
        <v>191</v>
      </c>
      <c r="C3" s="10">
        <v>128</v>
      </c>
      <c r="D3" s="10">
        <v>147</v>
      </c>
      <c r="E3" s="10">
        <v>181</v>
      </c>
      <c r="F3" s="11">
        <v>59</v>
      </c>
      <c r="G3" s="11">
        <v>61</v>
      </c>
      <c r="H3" s="11">
        <v>50</v>
      </c>
      <c r="I3" s="11">
        <v>60</v>
      </c>
      <c r="J3" s="10">
        <v>230</v>
      </c>
      <c r="K3" s="12">
        <v>47</v>
      </c>
      <c r="L3" s="12">
        <v>46</v>
      </c>
      <c r="M3" s="12">
        <v>35</v>
      </c>
      <c r="N3" s="12"/>
      <c r="O3" s="10">
        <v>128</v>
      </c>
      <c r="P3" s="13">
        <v>-0.30000000000000004</v>
      </c>
      <c r="Q3" s="13">
        <v>-0.24705882352941178</v>
      </c>
      <c r="R3" s="14">
        <v>0.1797752808988764</v>
      </c>
    </row>
    <row r="4" spans="1:18" ht="15" customHeight="1" x14ac:dyDescent="0.25">
      <c r="A4" s="9" t="s">
        <v>47</v>
      </c>
      <c r="B4" s="10">
        <v>117</v>
      </c>
      <c r="C4" s="10">
        <v>116</v>
      </c>
      <c r="D4" s="10">
        <v>105</v>
      </c>
      <c r="E4" s="10">
        <v>112</v>
      </c>
      <c r="F4" s="11">
        <v>27</v>
      </c>
      <c r="G4" s="11">
        <v>14</v>
      </c>
      <c r="H4" s="11">
        <v>33</v>
      </c>
      <c r="I4" s="11">
        <v>38</v>
      </c>
      <c r="J4" s="10">
        <v>112</v>
      </c>
      <c r="K4" s="12">
        <v>19</v>
      </c>
      <c r="L4" s="12">
        <v>29</v>
      </c>
      <c r="M4" s="12">
        <v>33</v>
      </c>
      <c r="N4" s="12"/>
      <c r="O4" s="10">
        <v>81</v>
      </c>
      <c r="P4" s="13">
        <v>0</v>
      </c>
      <c r="Q4" s="13">
        <v>9.4594594594594517E-2</v>
      </c>
      <c r="R4" s="14">
        <v>0.11376404494382023</v>
      </c>
    </row>
    <row r="5" spans="1:18" ht="15" customHeight="1" x14ac:dyDescent="0.25">
      <c r="A5" s="9" t="s">
        <v>50</v>
      </c>
      <c r="B5" s="10">
        <v>57</v>
      </c>
      <c r="C5" s="10">
        <v>37</v>
      </c>
      <c r="D5" s="10">
        <v>50</v>
      </c>
      <c r="E5" s="10">
        <v>37</v>
      </c>
      <c r="F5" s="11">
        <v>11</v>
      </c>
      <c r="G5" s="11">
        <v>6</v>
      </c>
      <c r="H5" s="11">
        <v>10</v>
      </c>
      <c r="I5" s="11">
        <v>5</v>
      </c>
      <c r="J5" s="10">
        <v>32</v>
      </c>
      <c r="K5" s="12">
        <v>10</v>
      </c>
      <c r="L5" s="12">
        <v>7</v>
      </c>
      <c r="M5" s="12">
        <v>5</v>
      </c>
      <c r="N5" s="12"/>
      <c r="O5" s="10">
        <v>22</v>
      </c>
      <c r="P5" s="13">
        <v>-0.5</v>
      </c>
      <c r="Q5" s="13">
        <v>-0.18518518518518523</v>
      </c>
      <c r="R5" s="14">
        <v>3.0898876404494381E-2</v>
      </c>
    </row>
    <row r="6" spans="1:18" ht="15" customHeight="1" x14ac:dyDescent="0.25">
      <c r="A6" s="9" t="s">
        <v>51</v>
      </c>
      <c r="B6" s="10">
        <v>94</v>
      </c>
      <c r="C6" s="10">
        <v>78</v>
      </c>
      <c r="D6" s="10">
        <v>60</v>
      </c>
      <c r="E6" s="10">
        <v>73</v>
      </c>
      <c r="F6" s="11">
        <v>10</v>
      </c>
      <c r="G6" s="11">
        <v>17</v>
      </c>
      <c r="H6" s="11">
        <v>24</v>
      </c>
      <c r="I6" s="11">
        <v>27</v>
      </c>
      <c r="J6" s="10">
        <v>78</v>
      </c>
      <c r="K6" s="12">
        <v>21</v>
      </c>
      <c r="L6" s="12">
        <v>34</v>
      </c>
      <c r="M6" s="12">
        <v>12</v>
      </c>
      <c r="N6" s="12"/>
      <c r="O6" s="10">
        <v>67</v>
      </c>
      <c r="P6" s="13">
        <v>-0.5</v>
      </c>
      <c r="Q6" s="13">
        <v>0.31372549019607843</v>
      </c>
      <c r="R6" s="14">
        <v>9.4101123595505612E-2</v>
      </c>
    </row>
    <row r="7" spans="1:18" ht="15" customHeight="1" x14ac:dyDescent="0.25">
      <c r="A7" s="9" t="s">
        <v>52</v>
      </c>
      <c r="B7" s="10">
        <v>347</v>
      </c>
      <c r="C7" s="10">
        <v>263</v>
      </c>
      <c r="D7" s="10">
        <v>191</v>
      </c>
      <c r="E7" s="10">
        <v>229</v>
      </c>
      <c r="F7" s="11">
        <v>65</v>
      </c>
      <c r="G7" s="11">
        <v>40</v>
      </c>
      <c r="H7" s="11">
        <v>68</v>
      </c>
      <c r="I7" s="11">
        <v>125</v>
      </c>
      <c r="J7" s="10">
        <v>298</v>
      </c>
      <c r="K7" s="12">
        <v>86</v>
      </c>
      <c r="L7" s="12">
        <v>61</v>
      </c>
      <c r="M7" s="12">
        <v>49</v>
      </c>
      <c r="N7" s="12"/>
      <c r="O7" s="10">
        <v>196</v>
      </c>
      <c r="P7" s="13">
        <v>-0.27941176470588236</v>
      </c>
      <c r="Q7" s="13">
        <v>0.13294797687861282</v>
      </c>
      <c r="R7" s="14">
        <v>0.2752808988764045</v>
      </c>
    </row>
    <row r="8" spans="1:18" ht="15" customHeight="1" x14ac:dyDescent="0.25">
      <c r="A8" s="9" t="s">
        <v>31</v>
      </c>
      <c r="B8" s="10">
        <v>14</v>
      </c>
      <c r="C8" s="10">
        <v>21</v>
      </c>
      <c r="D8" s="10">
        <v>18</v>
      </c>
      <c r="E8" s="10">
        <v>15</v>
      </c>
      <c r="F8" s="11">
        <v>11</v>
      </c>
      <c r="G8" s="11">
        <v>9</v>
      </c>
      <c r="H8" s="11">
        <v>7</v>
      </c>
      <c r="I8" s="11">
        <v>6</v>
      </c>
      <c r="J8" s="10">
        <v>33</v>
      </c>
      <c r="K8" s="12">
        <v>11</v>
      </c>
      <c r="L8" s="12">
        <v>9</v>
      </c>
      <c r="M8" s="12">
        <v>8</v>
      </c>
      <c r="N8" s="12"/>
      <c r="O8" s="10">
        <v>28</v>
      </c>
      <c r="P8" s="13">
        <v>0.14285714285714279</v>
      </c>
      <c r="Q8" s="13">
        <v>3.7037037037036979E-2</v>
      </c>
      <c r="R8" s="14">
        <v>3.9325842696629212E-2</v>
      </c>
    </row>
    <row r="9" spans="1:18" ht="15" customHeight="1" x14ac:dyDescent="0.25">
      <c r="A9" s="9" t="s">
        <v>55</v>
      </c>
      <c r="B9" s="10">
        <v>65</v>
      </c>
      <c r="C9" s="10">
        <v>56</v>
      </c>
      <c r="D9" s="10">
        <v>30</v>
      </c>
      <c r="E9" s="10">
        <v>72</v>
      </c>
      <c r="F9" s="11">
        <v>22</v>
      </c>
      <c r="G9" s="11">
        <v>14</v>
      </c>
      <c r="H9" s="11">
        <v>21</v>
      </c>
      <c r="I9" s="11">
        <v>51</v>
      </c>
      <c r="J9" s="10">
        <v>108</v>
      </c>
      <c r="K9" s="12">
        <v>28</v>
      </c>
      <c r="L9" s="12">
        <v>25</v>
      </c>
      <c r="M9" s="12">
        <v>20</v>
      </c>
      <c r="N9" s="12"/>
      <c r="O9" s="10">
        <v>73</v>
      </c>
      <c r="P9" s="13">
        <v>-4.7619047619047672E-2</v>
      </c>
      <c r="Q9" s="13">
        <v>0.2807017543859649</v>
      </c>
      <c r="R9" s="14">
        <v>0.10252808988764045</v>
      </c>
    </row>
    <row r="10" spans="1:18" ht="15" customHeight="1" x14ac:dyDescent="0.25">
      <c r="A10" s="9" t="s">
        <v>75</v>
      </c>
      <c r="B10" s="10">
        <v>32</v>
      </c>
      <c r="C10" s="10">
        <v>19</v>
      </c>
      <c r="D10" s="10">
        <v>23</v>
      </c>
      <c r="E10" s="10">
        <v>24</v>
      </c>
      <c r="F10" s="11">
        <v>5</v>
      </c>
      <c r="G10" s="11">
        <v>5</v>
      </c>
      <c r="H10" s="11">
        <v>9</v>
      </c>
      <c r="I10" s="11">
        <v>8</v>
      </c>
      <c r="J10" s="10">
        <v>27</v>
      </c>
      <c r="K10" s="12">
        <v>11</v>
      </c>
      <c r="L10" s="12">
        <v>9</v>
      </c>
      <c r="M10" s="12">
        <v>2</v>
      </c>
      <c r="N10" s="12"/>
      <c r="O10" s="10">
        <v>22</v>
      </c>
      <c r="P10" s="13">
        <v>-0.77777777777777779</v>
      </c>
      <c r="Q10" s="13">
        <v>0.15789473684210531</v>
      </c>
      <c r="R10" s="14">
        <v>3.0898876404494381E-2</v>
      </c>
    </row>
    <row r="11" spans="1:18" ht="15" customHeight="1" x14ac:dyDescent="0.25">
      <c r="A11" s="9" t="s">
        <v>34</v>
      </c>
      <c r="B11" s="10">
        <v>795</v>
      </c>
      <c r="C11" s="10">
        <v>695</v>
      </c>
      <c r="D11" s="10">
        <v>412</v>
      </c>
      <c r="E11" s="10">
        <v>300</v>
      </c>
      <c r="F11" s="11">
        <v>36</v>
      </c>
      <c r="G11" s="11">
        <v>25</v>
      </c>
      <c r="H11" s="11">
        <v>23</v>
      </c>
      <c r="I11" s="11">
        <v>28</v>
      </c>
      <c r="J11" s="10">
        <v>112</v>
      </c>
      <c r="K11" s="12">
        <v>75</v>
      </c>
      <c r="L11" s="12">
        <v>18</v>
      </c>
      <c r="M11" s="12">
        <v>2</v>
      </c>
      <c r="N11" s="12"/>
      <c r="O11" s="10">
        <v>95</v>
      </c>
      <c r="P11" s="13">
        <v>-0.91304347826086962</v>
      </c>
      <c r="Q11" s="13">
        <v>0.13095238095238093</v>
      </c>
      <c r="R11" s="14">
        <v>0.13342696629213482</v>
      </c>
    </row>
    <row r="12" spans="1:18" ht="15" customHeight="1" x14ac:dyDescent="0.25">
      <c r="A12" t="s">
        <v>35</v>
      </c>
      <c r="B12" s="16">
        <f>SUBTOTAL(109,Tabell_Häst[2019])</f>
        <v>1712</v>
      </c>
      <c r="C12" s="16">
        <f>SUBTOTAL(109,Tabell_Häst[2020])</f>
        <v>1413</v>
      </c>
      <c r="D12" s="16">
        <f>SUBTOTAL(109,Tabell_Häst[2021])</f>
        <v>1036</v>
      </c>
      <c r="E12" s="16">
        <f>SUBTOTAL(109,Tabell_Häst[2022])</f>
        <v>1043</v>
      </c>
      <c r="F12" s="16">
        <f>SUBTOTAL(109,Tabell_Häst[Kvartal 1 2023])</f>
        <v>246</v>
      </c>
      <c r="G12" s="16">
        <f>SUBTOTAL(109,Tabell_Häst[Kvartal 2 2023])</f>
        <v>191</v>
      </c>
      <c r="H12" s="16">
        <f>SUBTOTAL(109,Tabell_Häst[Kvartal 3 2023])</f>
        <v>245</v>
      </c>
      <c r="I12" s="16">
        <f>SUBTOTAL(109,Tabell_Häst[Kvartal 4 2023])</f>
        <v>348</v>
      </c>
      <c r="J12" s="16">
        <f>SUBTOTAL(109,Tabell_Häst[2023])</f>
        <v>1030</v>
      </c>
      <c r="K12" s="16">
        <f>SUBTOTAL(109,Tabell_Häst[Kvartal 1 2024])</f>
        <v>308</v>
      </c>
      <c r="L12" s="16">
        <f>SUBTOTAL(109,Tabell_Häst[Kvartal 2 2024])</f>
        <v>238</v>
      </c>
      <c r="M12" s="16">
        <f>SUBTOTAL(109,Tabell_Häst[Kvartal 3 2024])</f>
        <v>166</v>
      </c>
      <c r="N12" s="16">
        <f>SUBTOTAL(109,Tabell_Häst[Kvartal 4 2024])</f>
        <v>0</v>
      </c>
      <c r="O12" s="16">
        <f>SUBTOTAL(109,Tabell_Häst[2024])</f>
        <v>712</v>
      </c>
      <c r="P12" s="17">
        <f>M12/H12-1</f>
        <v>-0.32244897959183672</v>
      </c>
      <c r="Q12" s="17">
        <f>O12/SUM(F12:H12)-1</f>
        <v>4.3988269794721369E-2</v>
      </c>
      <c r="R12" s="18">
        <f>SUBTOTAL(109,Tabell_Häst[Procentuell andel 2024*])</f>
        <v>1</v>
      </c>
    </row>
    <row r="13" spans="1:18" ht="15" customHeight="1" x14ac:dyDescent="0.2">
      <c r="A13" s="23" t="s">
        <v>81</v>
      </c>
    </row>
    <row r="14" spans="1:18" ht="15" customHeight="1" x14ac:dyDescent="0.2">
      <c r="A14" s="23" t="s">
        <v>37</v>
      </c>
    </row>
    <row r="15" spans="1:18" ht="15" customHeight="1" x14ac:dyDescent="0.2">
      <c r="A15" s="23" t="s">
        <v>82</v>
      </c>
    </row>
    <row r="16" spans="1:18" ht="15" customHeight="1" x14ac:dyDescent="0.2">
      <c r="A16" s="23" t="s">
        <v>39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dataConsolidate/>
  <pageMargins left="0.70866141732283472" right="0.31496062992125984" top="0.55118110236220474" bottom="0.74803149606299213" header="0.31496062992125984" footer="0.31496062992125984"/>
  <pageSetup paperSize="9" scale="78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582C-E62E-42A4-9339-48AF003BF940}">
  <sheetPr codeName="Blad1"/>
  <dimension ref="A1:H26"/>
  <sheetViews>
    <sheetView zoomScaleNormal="100" workbookViewId="0">
      <selection activeCell="A2" sqref="A2"/>
    </sheetView>
  </sheetViews>
  <sheetFormatPr defaultColWidth="9.85546875" defaultRowHeight="12.75" x14ac:dyDescent="0.2"/>
  <cols>
    <col min="1" max="1" width="27" style="26" customWidth="1"/>
    <col min="2" max="2" width="10.5703125" style="26" bestFit="1" customWidth="1"/>
    <col min="3" max="3" width="12.140625" style="26" customWidth="1"/>
    <col min="4" max="5" width="10" style="26" bestFit="1" customWidth="1"/>
    <col min="6" max="6" width="8.7109375" style="26" customWidth="1"/>
    <col min="7" max="7" width="8.28515625" style="26" customWidth="1"/>
    <col min="8" max="16384" width="9.85546875" style="26"/>
  </cols>
  <sheetData>
    <row r="1" spans="1:8" s="23" customFormat="1" ht="92.25" customHeight="1" x14ac:dyDescent="0.25">
      <c r="A1" s="1" t="s">
        <v>83</v>
      </c>
      <c r="E1"/>
      <c r="F1"/>
      <c r="G1"/>
      <c r="H1"/>
    </row>
    <row r="2" spans="1:8" ht="15" x14ac:dyDescent="0.25">
      <c r="A2" s="24" t="s">
        <v>84</v>
      </c>
      <c r="B2" s="25" t="s">
        <v>85</v>
      </c>
      <c r="C2" s="25" t="s">
        <v>86</v>
      </c>
      <c r="D2" s="25" t="s">
        <v>87</v>
      </c>
      <c r="E2" s="25" t="s">
        <v>88</v>
      </c>
      <c r="F2" s="25" t="s">
        <v>89</v>
      </c>
      <c r="G2" s="25" t="s">
        <v>90</v>
      </c>
    </row>
    <row r="3" spans="1:8" ht="15" x14ac:dyDescent="0.25">
      <c r="A3" s="27">
        <v>2023</v>
      </c>
      <c r="B3" s="28">
        <v>2568276</v>
      </c>
      <c r="C3" s="28">
        <v>409754</v>
      </c>
      <c r="D3" s="28">
        <v>10958</v>
      </c>
      <c r="E3" s="28">
        <v>228860</v>
      </c>
      <c r="F3" s="28">
        <v>906</v>
      </c>
      <c r="G3" s="28">
        <v>1030</v>
      </c>
    </row>
    <row r="4" spans="1:8" ht="15" x14ac:dyDescent="0.25">
      <c r="A4" s="29">
        <v>2022</v>
      </c>
      <c r="B4" s="16">
        <v>2668928</v>
      </c>
      <c r="C4" s="16">
        <v>400216</v>
      </c>
      <c r="D4" s="16">
        <v>11474</v>
      </c>
      <c r="E4" s="16">
        <v>228822</v>
      </c>
      <c r="F4" s="16">
        <v>1058</v>
      </c>
      <c r="G4" s="16">
        <v>1043</v>
      </c>
    </row>
    <row r="5" spans="1:8" ht="15" x14ac:dyDescent="0.25">
      <c r="A5" s="29">
        <v>2021</v>
      </c>
      <c r="B5" s="16">
        <v>2647847</v>
      </c>
      <c r="C5" s="16">
        <v>399962</v>
      </c>
      <c r="D5" s="16">
        <v>11499</v>
      </c>
      <c r="E5" s="16">
        <v>230120</v>
      </c>
      <c r="F5" s="16">
        <v>687</v>
      </c>
      <c r="G5" s="16">
        <v>1036</v>
      </c>
    </row>
    <row r="6" spans="1:8" ht="15" x14ac:dyDescent="0.25">
      <c r="A6" s="29">
        <v>2020</v>
      </c>
      <c r="B6" s="16">
        <v>2617581</v>
      </c>
      <c r="C6" s="16">
        <v>420198</v>
      </c>
      <c r="D6" s="16">
        <v>13468</v>
      </c>
      <c r="E6" s="16">
        <v>240517</v>
      </c>
      <c r="F6" s="16">
        <v>779</v>
      </c>
      <c r="G6" s="16">
        <v>1413</v>
      </c>
    </row>
    <row r="7" spans="1:8" ht="15" x14ac:dyDescent="0.25">
      <c r="A7" s="29">
        <v>2019</v>
      </c>
      <c r="B7" s="16">
        <v>2568189</v>
      </c>
      <c r="C7" s="16">
        <v>417043</v>
      </c>
      <c r="D7" s="16">
        <v>14891</v>
      </c>
      <c r="E7" s="16">
        <v>251708</v>
      </c>
      <c r="F7" s="16">
        <v>1198</v>
      </c>
      <c r="G7" s="16">
        <v>1712</v>
      </c>
    </row>
    <row r="8" spans="1:8" ht="15" x14ac:dyDescent="0.25">
      <c r="A8" s="29">
        <v>2018</v>
      </c>
      <c r="B8" s="16">
        <v>2640842</v>
      </c>
      <c r="C8" s="16">
        <v>409407</v>
      </c>
      <c r="D8" s="16">
        <v>15460</v>
      </c>
      <c r="E8" s="16">
        <v>280955</v>
      </c>
      <c r="F8" s="16">
        <v>1140</v>
      </c>
      <c r="G8" s="16">
        <v>1982</v>
      </c>
    </row>
    <row r="9" spans="1:8" ht="15" x14ac:dyDescent="0.25">
      <c r="A9" s="29">
        <v>2017</v>
      </c>
      <c r="B9" s="16">
        <v>2573461</v>
      </c>
      <c r="C9" s="16">
        <v>390996</v>
      </c>
      <c r="D9" s="16">
        <v>14399</v>
      </c>
      <c r="E9" s="16">
        <v>262396</v>
      </c>
      <c r="F9" s="16">
        <v>982</v>
      </c>
      <c r="G9" s="16">
        <v>2134</v>
      </c>
    </row>
    <row r="10" spans="1:8" ht="15" x14ac:dyDescent="0.25">
      <c r="A10" s="29">
        <v>2016</v>
      </c>
      <c r="B10" s="16">
        <v>2526661</v>
      </c>
      <c r="C10" s="16">
        <v>394932</v>
      </c>
      <c r="D10" s="16">
        <v>16256</v>
      </c>
      <c r="E10" s="16">
        <v>251448</v>
      </c>
      <c r="F10" s="16">
        <v>1138</v>
      </c>
      <c r="G10" s="16">
        <v>2488</v>
      </c>
    </row>
    <row r="11" spans="1:8" ht="15" x14ac:dyDescent="0.25">
      <c r="A11" s="29">
        <v>2015</v>
      </c>
      <c r="B11" s="16">
        <v>2554885</v>
      </c>
      <c r="C11" s="16">
        <v>406628</v>
      </c>
      <c r="D11" s="16">
        <v>21889</v>
      </c>
      <c r="E11" s="16">
        <v>256402</v>
      </c>
      <c r="F11" s="16">
        <v>1166</v>
      </c>
      <c r="G11" s="16">
        <v>2862</v>
      </c>
    </row>
    <row r="12" spans="1:8" ht="15" x14ac:dyDescent="0.25">
      <c r="A12" s="29">
        <v>2014</v>
      </c>
      <c r="B12" s="16">
        <v>2567911</v>
      </c>
      <c r="C12" s="16">
        <v>406088</v>
      </c>
      <c r="D12" s="16">
        <v>25739</v>
      </c>
      <c r="E12" s="16">
        <v>257808</v>
      </c>
      <c r="F12" s="16">
        <v>875</v>
      </c>
      <c r="G12" s="16">
        <v>3646</v>
      </c>
    </row>
    <row r="13" spans="1:8" ht="15" x14ac:dyDescent="0.25">
      <c r="A13" s="29">
        <v>2013</v>
      </c>
      <c r="B13" s="16">
        <v>2555848</v>
      </c>
      <c r="C13" s="16">
        <v>391347</v>
      </c>
      <c r="D13" s="16">
        <v>27091</v>
      </c>
      <c r="E13" s="16">
        <v>253097</v>
      </c>
      <c r="F13" s="16">
        <v>996</v>
      </c>
      <c r="G13" s="16">
        <v>4012</v>
      </c>
    </row>
    <row r="14" spans="1:8" ht="15" x14ac:dyDescent="0.25">
      <c r="A14" s="29">
        <v>2012</v>
      </c>
      <c r="B14" s="16">
        <v>2591862</v>
      </c>
      <c r="C14" s="16">
        <v>391826</v>
      </c>
      <c r="D14" s="16">
        <v>29133</v>
      </c>
      <c r="E14" s="16">
        <v>260521</v>
      </c>
      <c r="F14" s="16">
        <v>898</v>
      </c>
      <c r="G14" s="16">
        <v>4359</v>
      </c>
    </row>
    <row r="15" spans="1:8" ht="15" x14ac:dyDescent="0.25">
      <c r="A15" s="29">
        <v>2011</v>
      </c>
      <c r="B15" s="16">
        <v>2854837</v>
      </c>
      <c r="C15" s="16">
        <v>430061</v>
      </c>
      <c r="D15" s="16">
        <v>27188</v>
      </c>
      <c r="E15" s="16">
        <v>261993</v>
      </c>
      <c r="F15" s="16">
        <v>738</v>
      </c>
      <c r="G15" s="16">
        <v>4507</v>
      </c>
    </row>
    <row r="16" spans="1:8" ht="15" x14ac:dyDescent="0.25">
      <c r="A16" s="29">
        <v>2010</v>
      </c>
      <c r="B16" s="16">
        <v>2946689</v>
      </c>
      <c r="C16" s="16">
        <v>425664</v>
      </c>
      <c r="D16" s="16">
        <v>26655</v>
      </c>
      <c r="E16" s="16">
        <v>254909</v>
      </c>
      <c r="F16" s="16">
        <v>490</v>
      </c>
      <c r="G16" s="16">
        <v>3969</v>
      </c>
    </row>
    <row r="17" spans="1:7" ht="15" x14ac:dyDescent="0.25">
      <c r="A17" s="29">
        <v>2009</v>
      </c>
      <c r="B17" s="16">
        <v>2956412</v>
      </c>
      <c r="C17" s="16">
        <v>429526</v>
      </c>
      <c r="D17" s="16">
        <v>29425</v>
      </c>
      <c r="E17" s="16">
        <v>255072</v>
      </c>
      <c r="F17" s="16">
        <v>782</v>
      </c>
      <c r="G17" s="16">
        <v>3814</v>
      </c>
    </row>
    <row r="18" spans="1:7" ht="15" x14ac:dyDescent="0.25">
      <c r="A18" s="29">
        <v>2008</v>
      </c>
      <c r="B18" s="16">
        <v>3072441</v>
      </c>
      <c r="C18" s="16">
        <v>401597</v>
      </c>
      <c r="D18" s="16">
        <v>28661</v>
      </c>
      <c r="E18" s="16">
        <v>235031</v>
      </c>
      <c r="F18" s="16">
        <v>741</v>
      </c>
      <c r="G18" s="16">
        <v>3496</v>
      </c>
    </row>
    <row r="19" spans="1:7" ht="15" x14ac:dyDescent="0.25">
      <c r="A19" s="29">
        <v>2007</v>
      </c>
      <c r="B19" s="16">
        <v>3003777</v>
      </c>
      <c r="C19" s="16">
        <v>419408</v>
      </c>
      <c r="D19" s="16">
        <v>30124</v>
      </c>
      <c r="E19" s="16">
        <v>230975</v>
      </c>
      <c r="F19" s="16">
        <v>515</v>
      </c>
      <c r="G19" s="16">
        <v>2995</v>
      </c>
    </row>
    <row r="20" spans="1:7" ht="15" x14ac:dyDescent="0.25">
      <c r="A20" s="29">
        <v>2006</v>
      </c>
      <c r="B20" s="16">
        <v>3022036</v>
      </c>
      <c r="C20" s="16">
        <v>431679</v>
      </c>
      <c r="D20" s="16">
        <v>32425</v>
      </c>
      <c r="E20" s="16">
        <v>212854</v>
      </c>
      <c r="F20" s="16">
        <v>581</v>
      </c>
      <c r="G20" s="16">
        <v>3021</v>
      </c>
    </row>
    <row r="21" spans="1:7" ht="15" x14ac:dyDescent="0.25">
      <c r="A21" s="29">
        <v>2005</v>
      </c>
      <c r="B21" s="16">
        <v>3159941</v>
      </c>
      <c r="C21" s="16">
        <v>433044</v>
      </c>
      <c r="D21" s="16">
        <v>33036</v>
      </c>
      <c r="E21" s="16">
        <v>205983</v>
      </c>
      <c r="F21" s="16">
        <v>247</v>
      </c>
      <c r="G21" s="16">
        <v>3521</v>
      </c>
    </row>
    <row r="22" spans="1:7" ht="15" x14ac:dyDescent="0.25">
      <c r="A22" s="29">
        <v>2004</v>
      </c>
      <c r="B22" s="16">
        <v>3364833</v>
      </c>
      <c r="C22" s="16">
        <v>458016</v>
      </c>
      <c r="D22" s="16">
        <v>33868</v>
      </c>
      <c r="E22" s="16">
        <v>193241</v>
      </c>
      <c r="F22" s="16">
        <v>251</v>
      </c>
      <c r="G22" s="16">
        <v>5042</v>
      </c>
    </row>
    <row r="23" spans="1:7" ht="15" x14ac:dyDescent="0.25">
      <c r="A23" s="29">
        <v>2003</v>
      </c>
      <c r="B23" s="16">
        <v>3304939</v>
      </c>
      <c r="C23" s="16">
        <v>454222</v>
      </c>
      <c r="D23" s="16">
        <v>31536</v>
      </c>
      <c r="E23" s="16">
        <v>192432</v>
      </c>
      <c r="F23" s="16">
        <v>298</v>
      </c>
      <c r="G23" s="16">
        <v>5349</v>
      </c>
    </row>
    <row r="24" spans="1:7" ht="15" x14ac:dyDescent="0.25">
      <c r="A24" s="29">
        <v>2002</v>
      </c>
      <c r="B24" s="16">
        <v>3282338</v>
      </c>
      <c r="C24" s="16">
        <v>472928</v>
      </c>
      <c r="D24" s="16">
        <v>33831</v>
      </c>
      <c r="E24" s="16">
        <v>197278</v>
      </c>
      <c r="F24" s="16">
        <v>489</v>
      </c>
      <c r="G24" s="16">
        <v>5454</v>
      </c>
    </row>
    <row r="25" spans="1:7" ht="15" x14ac:dyDescent="0.25">
      <c r="A25" s="29">
        <v>2001</v>
      </c>
      <c r="B25" s="16">
        <v>3197296</v>
      </c>
      <c r="C25" s="16">
        <v>464032</v>
      </c>
      <c r="D25" s="16">
        <v>34290</v>
      </c>
      <c r="E25" s="16">
        <v>197343</v>
      </c>
      <c r="F25" s="16">
        <v>405</v>
      </c>
      <c r="G25" s="16">
        <v>5173</v>
      </c>
    </row>
    <row r="26" spans="1:7" ht="15.75" thickBot="1" x14ac:dyDescent="0.3">
      <c r="A26" s="30">
        <v>2000</v>
      </c>
      <c r="B26" s="31">
        <v>3256929</v>
      </c>
      <c r="C26" s="31">
        <v>490169</v>
      </c>
      <c r="D26" s="31">
        <v>39068</v>
      </c>
      <c r="E26" s="31">
        <v>203836</v>
      </c>
      <c r="F26" s="31">
        <v>391</v>
      </c>
      <c r="G26" s="31">
        <v>5448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Gris</vt:lpstr>
      <vt:lpstr>Storboskap</vt:lpstr>
      <vt:lpstr>Kalv</vt:lpstr>
      <vt:lpstr>Får och lamm</vt:lpstr>
      <vt:lpstr>Häst</vt:lpstr>
      <vt:lpstr>Årshistorik</vt:lpstr>
    </vt:vector>
  </TitlesOfParts>
  <Company>Jordbruksverket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Kvartalsstatistik för godkänd slakt kvartal 3 år 2024</dc:title>
  <dc:creator>Jordbruksverket</dc:creator>
  <cp:keywords>Storboskap, Kalv, Gris, Får och lamm, Häst, Årshistorik,</cp:keywords>
  <cp:lastModifiedBy>Johanna Granlund</cp:lastModifiedBy>
  <dcterms:created xsi:type="dcterms:W3CDTF">2024-10-22T10:38:45Z</dcterms:created>
  <dcterms:modified xsi:type="dcterms:W3CDTF">2024-10-22T11:05:35Z</dcterms:modified>
</cp:coreProperties>
</file>