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ndm\Desktop\"/>
    </mc:Choice>
  </mc:AlternateContent>
  <xr:revisionPtr revIDLastSave="0" documentId="8_{23350B2D-B873-4BDE-B850-9425686EEF89}" xr6:coauthVersionLast="47" xr6:coauthVersionMax="47" xr10:uidLastSave="{00000000-0000-0000-0000-000000000000}"/>
  <bookViews>
    <workbookView xWindow="28680" yWindow="-120" windowWidth="29040" windowHeight="15720" xr2:uid="{EC1A8A07-ED59-4CD0-AE8C-CA76956149D9}"/>
  </bookViews>
  <sheets>
    <sheet name="Gris" sheetId="1" r:id="rId1"/>
    <sheet name="Kalv" sheetId="2" r:id="rId2"/>
    <sheet name="Storboskap" sheetId="3" r:id="rId3"/>
    <sheet name="Får och lamm" sheetId="4" r:id="rId4"/>
    <sheet name="Häst" sheetId="5" r:id="rId5"/>
    <sheet name="Årshistorik" sheetId="6" r:id="rId6"/>
  </sheets>
  <externalReferences>
    <externalReference r:id="rId7"/>
  </externalReferences>
  <definedNames>
    <definedName name="rngAvbugga">[1]Instruktion!$K$9</definedName>
    <definedName name="rngMedgivande">[1]Instruktion!$K$12</definedName>
    <definedName name="rngTidstämpel">[1]Instruktion!#REF!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13" i="5" l="1"/>
  <c r="O13" i="5"/>
  <c r="Q13" i="5" s="1"/>
  <c r="N13" i="5"/>
  <c r="M13" i="5"/>
  <c r="P13" i="5" s="1"/>
  <c r="L13" i="5"/>
  <c r="K13" i="5"/>
  <c r="J13" i="5"/>
  <c r="I13" i="5"/>
  <c r="H13" i="5"/>
  <c r="G13" i="5"/>
  <c r="F13" i="5"/>
  <c r="E13" i="5"/>
  <c r="D13" i="5"/>
  <c r="C13" i="5"/>
  <c r="B13" i="5"/>
  <c r="R29" i="4"/>
  <c r="O29" i="4"/>
  <c r="Q29" i="4" s="1"/>
  <c r="N29" i="4"/>
  <c r="M29" i="4"/>
  <c r="P29" i="4" s="1"/>
  <c r="L29" i="4"/>
  <c r="K29" i="4"/>
  <c r="J29" i="4"/>
  <c r="I29" i="4"/>
  <c r="H29" i="4"/>
  <c r="G29" i="4"/>
  <c r="F29" i="4"/>
  <c r="E29" i="4"/>
  <c r="D29" i="4"/>
  <c r="C29" i="4"/>
  <c r="B29" i="4"/>
  <c r="R29" i="3"/>
  <c r="O29" i="3"/>
  <c r="Q29" i="3" s="1"/>
  <c r="N29" i="3"/>
  <c r="M29" i="3"/>
  <c r="P29" i="3" s="1"/>
  <c r="L29" i="3"/>
  <c r="K29" i="3"/>
  <c r="J29" i="3"/>
  <c r="I29" i="3"/>
  <c r="H29" i="3"/>
  <c r="G29" i="3"/>
  <c r="F29" i="3"/>
  <c r="E29" i="3"/>
  <c r="D29" i="3"/>
  <c r="C29" i="3"/>
  <c r="B29" i="3"/>
  <c r="R24" i="2"/>
  <c r="O24" i="2"/>
  <c r="Q24" i="2" s="1"/>
  <c r="N24" i="2"/>
  <c r="M24" i="2"/>
  <c r="P24" i="2" s="1"/>
  <c r="L24" i="2"/>
  <c r="K24" i="2"/>
  <c r="J24" i="2"/>
  <c r="I24" i="2"/>
  <c r="H24" i="2"/>
  <c r="G24" i="2"/>
  <c r="F24" i="2"/>
  <c r="E24" i="2"/>
  <c r="D24" i="2"/>
  <c r="C24" i="2"/>
  <c r="B24" i="2"/>
  <c r="R19" i="1"/>
  <c r="O19" i="1"/>
  <c r="Q19" i="1" s="1"/>
  <c r="N19" i="1"/>
  <c r="M19" i="1"/>
  <c r="P19" i="1" s="1"/>
  <c r="L19" i="1"/>
  <c r="K19" i="1"/>
  <c r="J19" i="1"/>
  <c r="I19" i="1"/>
  <c r="H19" i="1"/>
  <c r="G19" i="1"/>
  <c r="F19" i="1"/>
  <c r="E19" i="1"/>
  <c r="D19" i="1"/>
  <c r="C19" i="1"/>
  <c r="B19" i="1"/>
</calcChain>
</file>

<file path=xl/sharedStrings.xml><?xml version="1.0" encoding="utf-8"?>
<sst xmlns="http://schemas.openxmlformats.org/spreadsheetml/2006/main" count="233" uniqueCount="89">
  <si>
    <t>Antal slaktade grisar, uppdaterad kvartal 3 2026</t>
  </si>
  <si>
    <t>Anläggning</t>
  </si>
  <si>
    <t>2021</t>
  </si>
  <si>
    <t>2022</t>
  </si>
  <si>
    <t>2023</t>
  </si>
  <si>
    <t>2024</t>
  </si>
  <si>
    <t>Kvartal 1 2025</t>
  </si>
  <si>
    <t>Kvartal 2 2025</t>
  </si>
  <si>
    <t>Kvartal 3 2025</t>
  </si>
  <si>
    <t>Kvartal 4 2025</t>
  </si>
  <si>
    <t>2025</t>
  </si>
  <si>
    <t>Kvartal 1 2026</t>
  </si>
  <si>
    <t>Kvartal 2 2026</t>
  </si>
  <si>
    <t>Kvartal 3 2026</t>
  </si>
  <si>
    <t>Kvartal 4 2026</t>
  </si>
  <si>
    <t>2026</t>
  </si>
  <si>
    <t>Förändring kv 3 från 2025-2026</t>
  </si>
  <si>
    <t>Förändring kv 1-3 från 2025–2026</t>
  </si>
  <si>
    <t>Procentuell andel 2026*</t>
  </si>
  <si>
    <t>Alviksgården Lantbruks AB</t>
  </si>
  <si>
    <t>Brantestads Gårdsslakteri</t>
  </si>
  <si>
    <t>Dahlbergs Slakteri AB</t>
  </si>
  <si>
    <t>Ginsten Slakteri</t>
  </si>
  <si>
    <t>Ickholmens slakteri</t>
  </si>
  <si>
    <t>KLS Ugglarps AB Dalsjöfors</t>
  </si>
  <si>
    <t>KLS Ugglarps AB Kalmar</t>
  </si>
  <si>
    <t>KLS Ugglarps AB, Trelleborg</t>
  </si>
  <si>
    <t>Lindells Gårdsslakteri</t>
  </si>
  <si>
    <t>Lövsta Kött AB</t>
  </si>
  <si>
    <t>Protos AB, Visby</t>
  </si>
  <si>
    <t>Ragnar Johanssons Kött o Chark AB</t>
  </si>
  <si>
    <t>Roslagens Slakt och Chark AB</t>
  </si>
  <si>
    <t>Scan, Kristianstad</t>
  </si>
  <si>
    <t>Skövde Slakteri</t>
  </si>
  <si>
    <t>Övriga</t>
  </si>
  <si>
    <t>Total svensk slakt</t>
  </si>
  <si>
    <t>Tabellen visar 15 av de 43 slakterier som har slaktat grisar under 2026. Källa: Jordbruksverket</t>
  </si>
  <si>
    <t>Sammanställningen utgår från slakteriernas veckorapportering till Jordbruksverket och visar antal slaktade djur som godkänts som livsmedel</t>
  </si>
  <si>
    <t>Ingående kategorier: Samtliga djur av djurslaget svin inklusive suggor och galtar</t>
  </si>
  <si>
    <t>*Den procentuella andelen av slakten utgår från anläggning, inte företag. Det förekommer att slakteriföretag legoslaktar åt varandra.</t>
  </si>
  <si>
    <t>Antal slaktade kalvar, uppdaterad kvartal 3 2026</t>
  </si>
  <si>
    <t>Bassholma slakteri AB</t>
  </si>
  <si>
    <t>─</t>
  </si>
  <si>
    <t>Bjursunds Slakteri AB</t>
  </si>
  <si>
    <t>-</t>
  </si>
  <si>
    <t>Bäsinge Slakteri AB</t>
  </si>
  <si>
    <t>–</t>
  </si>
  <si>
    <t>Delsbo Slakteri</t>
  </si>
  <si>
    <t>Ello i Lammhult AB</t>
  </si>
  <si>
    <t>Faringe Kött &amp; Slakt AB</t>
  </si>
  <si>
    <t>Jämtlandsgården Livsmedel AB</t>
  </si>
  <si>
    <t>KLS Ugglarps AB, Hörby</t>
  </si>
  <si>
    <t>Norrbottensgården Slakteri AB</t>
  </si>
  <si>
    <t>Närkes Slakteri</t>
  </si>
  <si>
    <t>Scan, Linköping</t>
  </si>
  <si>
    <t>Skånska Vilt AB</t>
  </si>
  <si>
    <t>Varekils Slakteri AB</t>
  </si>
  <si>
    <t>Tabellen visar 20 av de 35 slakterier som har slaktat kalvar under 2026. Källa: Jordbruksverket</t>
  </si>
  <si>
    <t>Ingående kategorier: späd-, göd-, och mellankalv</t>
  </si>
  <si>
    <t>Antal slaktade storboskap, uppdaterad kvartal 3 2026</t>
  </si>
  <si>
    <t>Almunge Kött</t>
  </si>
  <si>
    <t>Mostorps Gård AB</t>
  </si>
  <si>
    <t>Nyhléns Hugosons AB - Ullånger</t>
  </si>
  <si>
    <t>PP Slakt AB</t>
  </si>
  <si>
    <t>Sörby Slakteri</t>
  </si>
  <si>
    <t>Tabellen visar 25 av de 60 slakterier som har slaktat storboskap under 2026. Källa: Jordbruksverket</t>
  </si>
  <si>
    <t>Ingående kategorier: Samtliga nötkreatur utom späd-, göd-, och mellankalv</t>
  </si>
  <si>
    <t>Antal slaktade får och lamm, uppdaterad kvartal 3 2026</t>
  </si>
  <si>
    <t>Appeltorps Lamm o Vilt</t>
  </si>
  <si>
    <t>Ljungskile Kött AB</t>
  </si>
  <si>
    <t>Skara Lammslakteri AB</t>
  </si>
  <si>
    <t>Stora Skedvi Slakt &amp; Styckservice</t>
  </si>
  <si>
    <t>Tavastboda gårdsslakteri AB</t>
  </si>
  <si>
    <t>Vikbolands Kött</t>
  </si>
  <si>
    <t>Västerslät</t>
  </si>
  <si>
    <t>Öströö Fårfarm AB</t>
  </si>
  <si>
    <t>Tabellen visar 25 av de 53 slakterier som har slaktat får och lamm under 2026. Källa: Jordbruksverket</t>
  </si>
  <si>
    <t>Ingående kategorier: Samtliga får och lamm</t>
  </si>
  <si>
    <t>Antal slaktade hästar, uppdaterad kvartal 3 2026</t>
  </si>
  <si>
    <t>Tabellen visar 9 av de 16 slakterier som har slaktat hästar under 2026. Källa: Jordbruksverket</t>
  </si>
  <si>
    <t>Ingående kategorier: Samtliga hästar</t>
  </si>
  <si>
    <t>Godkänd slakt, antal djur per år</t>
  </si>
  <si>
    <t>År</t>
  </si>
  <si>
    <t>Svin</t>
  </si>
  <si>
    <t>Storboskap</t>
  </si>
  <si>
    <t>Kalv</t>
  </si>
  <si>
    <t>Får</t>
  </si>
  <si>
    <t>Häst</t>
  </si>
  <si>
    <t>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</si>
</sst>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%"/>
    <numFmt numFmtId="165" formatCode="\+0%;\-0%"/>
    <numFmt numFmtId="166" formatCode="#,#0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EF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2" borderId="0" xfId="0" applyFill="1" applyAlignment="1">
      <alignment horizontal="right" wrapText="1"/>
    </xf>
    <xf numFmtId="164" fontId="3" fillId="0" borderId="0" xfId="1" applyNumberFormat="1" applyFont="1" applyFill="1" applyBorder="1" applyAlignment="1">
      <alignment horizontal="right" wrapText="1"/>
    </xf>
    <xf numFmtId="164" fontId="3" fillId="0" borderId="0" xfId="1" applyNumberFormat="1" applyFont="1" applyFill="1" applyBorder="1" applyAlignment="1">
      <alignment horizontal="center" wrapText="1"/>
    </xf>
    <xf numFmtId="164" fontId="1" fillId="0" borderId="0" xfId="0" applyNumberFormat="1" applyFont="1" applyAlignment="1">
      <alignment wrapText="1"/>
    </xf>
    <xf numFmtId="3" fontId="0" fillId="0" borderId="0" xfId="0" applyNumberFormat="1"/>
    <xf numFmtId="3" fontId="0" fillId="3" borderId="0" xfId="0" applyNumberFormat="1" applyFill="1"/>
    <xf numFmtId="3" fontId="0" fillId="4" borderId="0" xfId="0" applyNumberFormat="1" applyFill="1"/>
    <xf numFmtId="165" fontId="0" fillId="0" borderId="0" xfId="0" applyNumberFormat="1" applyAlignment="1">
      <alignment horizontal="right"/>
    </xf>
    <xf numFmtId="9" fontId="0" fillId="0" borderId="0" xfId="0" applyNumberFormat="1"/>
    <xf numFmtId="166" fontId="3" fillId="0" borderId="0" xfId="0" applyNumberFormat="1" applyFont="1"/>
    <xf numFmtId="165" fontId="0" fillId="0" borderId="0" xfId="0" applyNumberForma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3" fontId="0" fillId="0" borderId="1" xfId="0" applyNumberFormat="1" applyBorder="1"/>
    <xf numFmtId="9" fontId="3" fillId="0" borderId="0" xfId="1" applyFont="1"/>
  </cellXfs>
  <cellStyles count="2">
    <cellStyle name="Normal" xfId="0" builtinId="0"/>
    <cellStyle name="Procent" xfId="1" builtinId="5"/>
  </cellStyles>
  <dxfs count="201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vertical="bottom" textRotation="0" wrapText="0" indent="0" justifyLastLine="0" shrinkToFit="0" readingOrder="0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3" formatCode="0%"/>
      <fill>
        <patternFill patternType="none">
          <fgColor indexed="64"/>
          <bgColor indexed="65"/>
        </patternFill>
      </fill>
    </dxf>
    <dxf>
      <numFmt numFmtId="165" formatCode="\+0%;\-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\+0%;\-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5" formatCode="\+0%;\-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\+0%;\-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rgb="FFFEFEFE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rgb="FFFEFEFE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rgb="FFFEFEFE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rgb="FFFEFEFE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0.0%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3" formatCode="0%"/>
      <fill>
        <patternFill patternType="none">
          <fgColor indexed="64"/>
          <bgColor indexed="65"/>
        </patternFill>
      </fill>
    </dxf>
    <dxf>
      <numFmt numFmtId="165" formatCode="\+0%;\-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\+0%;\-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5" formatCode="\+0%;\-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\+0%;\-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rgb="FFFEFEFE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rgb="FFFEFEFE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rgb="FFFEFEFE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rgb="FFFEFEFE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none">
          <fgColor indexed="64"/>
          <bgColor auto="1"/>
        </patternFill>
      </fill>
    </dxf>
    <dxf>
      <numFmt numFmtId="165" formatCode="\+0%;\-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\+0%;\-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5" formatCode="\+0%;\-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\+0%;\-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</dxf>
    <dxf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rgb="FFFEFEFE"/>
        </patternFill>
      </fill>
    </dxf>
    <dxf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rgb="FFFEFEFE"/>
        </patternFill>
      </fill>
    </dxf>
    <dxf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rgb="FFFEFEFE"/>
        </patternFill>
      </fill>
    </dxf>
    <dxf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rgb="FFFEFEFE"/>
        </patternFill>
      </fill>
    </dxf>
    <dxf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</dxf>
    <dxf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#,#0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%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none">
          <fgColor indexed="64"/>
          <bgColor auto="1"/>
        </patternFill>
      </fill>
    </dxf>
    <dxf>
      <numFmt numFmtId="165" formatCode="\+0%;\-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\+0%;\-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5" formatCode="\+0%;\-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\+0%;\-0%"/>
      <fill>
        <patternFill patternType="none">
          <fgColor indexed="64"/>
          <bgColor indexed="65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</dxf>
    <dxf>
      <numFmt numFmtId="3" formatCode="#,##0"/>
    </dxf>
    <dxf>
      <numFmt numFmtId="3" formatCode="#,##0"/>
      <fill>
        <patternFill patternType="solid">
          <fgColor indexed="64"/>
          <bgColor rgb="FFFEFEFE"/>
        </patternFill>
      </fill>
    </dxf>
    <dxf>
      <numFmt numFmtId="3" formatCode="#,##0"/>
    </dxf>
    <dxf>
      <numFmt numFmtId="3" formatCode="#,##0"/>
      <fill>
        <patternFill patternType="solid">
          <fgColor indexed="64"/>
          <bgColor rgb="FFFEFEFE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rgb="FFFEFEFE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rgb="FFFEFEFE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#,#0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3" formatCode="0%"/>
      <fill>
        <patternFill patternType="none">
          <fgColor indexed="64"/>
          <bgColor indexed="65"/>
        </patternFill>
      </fill>
    </dxf>
    <dxf>
      <numFmt numFmtId="165" formatCode="\+0%;\-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\+0%;\-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165" formatCode="\+0%;\-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\+0%;\-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rgb="FFFEFEFE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rgb="FFFEFEFE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rgb="FFFEFEFE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rgb="FFFEFEFE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border>
        <left/>
        <right/>
        <top style="thin">
          <color theme="9" tint="0.59996337778862885"/>
        </top>
        <bottom style="thin">
          <color theme="9" tint="0.59996337778862885"/>
        </bottom>
        <vertical/>
        <horizontal style="thin">
          <color theme="9" tint="0.59996337778862885"/>
        </horizontal>
      </border>
    </dxf>
    <dxf>
      <fill>
        <patternFill>
          <bgColor theme="9" tint="0.79998168889431442"/>
        </patternFill>
      </fill>
      <border diagonalUp="0" diagonalDown="0">
        <left/>
        <right/>
        <top style="thin">
          <color theme="9" tint="0.59996337778862885"/>
        </top>
        <bottom style="thin">
          <color theme="9" tint="0.59996337778862885"/>
        </bottom>
        <vertical/>
        <horizontal style="thin">
          <color theme="9" tint="0.59996337778862885"/>
        </horizontal>
      </border>
    </dxf>
    <dxf>
      <font>
        <b/>
        <color theme="1"/>
      </font>
      <border>
        <right/>
      </border>
    </dxf>
    <dxf>
      <font>
        <b/>
        <color theme="1"/>
      </font>
    </dxf>
    <dxf>
      <font>
        <b/>
        <color theme="1"/>
      </font>
      <border>
        <left/>
        <right/>
        <top style="double">
          <color auto="1"/>
        </top>
        <bottom style="medium">
          <color auto="1"/>
        </bottom>
        <vertical/>
      </border>
    </dxf>
    <dxf>
      <font>
        <b/>
        <color theme="1"/>
      </font>
      <border>
        <left/>
        <right/>
        <top style="medium">
          <color auto="1"/>
        </top>
        <bottom style="medium">
          <color auto="1"/>
        </bottom>
        <vertical/>
      </border>
    </dxf>
    <dxf>
      <font>
        <color theme="1"/>
      </font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 style="thin">
          <color theme="9"/>
        </vertical>
        <horizontal style="thin">
          <color theme="9"/>
        </horizontal>
      </border>
    </dxf>
  </dxfs>
  <tableStyles count="1" defaultTableStyle="TableStyleMedium2" defaultPivotStyle="PivotStyleLight16">
    <tableStyle name="Kvartalsstatistik" pivot="0" count="9" xr9:uid="{71D44910-2B93-4721-B522-E9C97600DDB3}">
      <tableStyleElement type="wholeTable" dxfId="200"/>
      <tableStyleElement type="headerRow" dxfId="199"/>
      <tableStyleElement type="totalRow" dxfId="198"/>
      <tableStyleElement type="firstColumn" dxfId="197"/>
      <tableStyleElement type="lastColumn" dxfId="196"/>
      <tableStyleElement type="firstRowStripe" dxfId="195"/>
      <tableStyleElement type="secondRowStripe" dxfId="194"/>
      <tableStyleElement type="firstColumnStripe" dxfId="193"/>
      <tableStyleElement type="secondColumnStripe" dxfId="19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Enhet\Kontrollenheter\Kontrollomr&#229;den\K&#246;ttklassning\Planering,%20uppf&#246;ljning%20och%20statistik\Statistik\Kvartalsstatistik\2026\Kvartalsstatistik%202026.xlsm" TargetMode="External"/><Relationship Id="rId1" Type="http://schemas.openxmlformats.org/officeDocument/2006/relationships/externalLinkPath" Target="file:///G:\Enhet\Kontrollenheter\Kontrollomr&#229;den\K&#246;ttklassning\Planering,%20uppf&#246;ljning%20och%20statistik\Statistik\Kvartalsstatistik\2026\Kvartalsstatistik%20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ktion"/>
      <sheetName val="DAWA-underlag"/>
      <sheetName val="Urval"/>
      <sheetName val="Äldre underlag"/>
      <sheetName val="Gris"/>
      <sheetName val="Kalv"/>
      <sheetName val="Storboskap"/>
      <sheetName val="Får och lamm"/>
      <sheetName val="Get"/>
      <sheetName val="Häst"/>
      <sheetName val="Årshistorik"/>
      <sheetName val="Diagram"/>
    </sheetNames>
    <sheetDataSet>
      <sheetData sheetId="0">
        <row r="12">
          <cell r="K12" t="str">
            <v>Medger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17E2F0-662C-4668-9C95-42EBFF02DB6F}" name="Tabell_Gris" displayName="Tabell_Gris" ref="A2:R19" totalsRowCount="1">
  <autoFilter ref="A2:R18" xr:uid="{00000000-0009-0000-0100-00000A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xr3:uid="{ADBA700B-11CA-4B34-A9E2-65570A86EFBF}" name="Anläggning" totalsRowLabel="Total svensk slakt" dataDxfId="191"/>
    <tableColumn id="19" xr3:uid="{DAF7611A-B945-48FB-9170-6E8489B895FC}" name="2021" totalsRowFunction="sum" dataDxfId="190" totalsRowDxfId="189"/>
    <tableColumn id="20" xr3:uid="{C5B4B710-0F68-487E-94BE-78836A24A8EC}" name="2022" totalsRowFunction="sum" dataDxfId="188" totalsRowDxfId="187"/>
    <tableColumn id="21" xr3:uid="{74208D11-E78E-43E7-B7A9-94D4AB6AC10F}" name="2023" totalsRowFunction="sum" dataDxfId="186" totalsRowDxfId="185"/>
    <tableColumn id="22" xr3:uid="{5F41E7C2-23A1-4347-B239-5168E5887A5B}" name="2024" totalsRowFunction="sum" dataDxfId="184" totalsRowDxfId="183"/>
    <tableColumn id="2" xr3:uid="{D81639F8-3A8B-4979-8FA6-ACDDEA31348F}" name="Kvartal 1 2025" totalsRowFunction="sum" dataDxfId="182" totalsRowDxfId="181"/>
    <tableColumn id="3" xr3:uid="{D27046C4-ECBE-46E3-BA8D-6D80C9D579F0}" name="Kvartal 2 2025" totalsRowFunction="sum" dataDxfId="180" totalsRowDxfId="179"/>
    <tableColumn id="4" xr3:uid="{4DA8A321-52F4-4DCE-BB3C-7C762CE2F84A}" name="Kvartal 3 2025" totalsRowFunction="sum" dataDxfId="178" totalsRowDxfId="177"/>
    <tableColumn id="5" xr3:uid="{5272C1B0-22BE-4A88-B2C2-F84CC4AB424F}" name="Kvartal 4 2025" totalsRowFunction="sum" dataDxfId="176" totalsRowDxfId="175"/>
    <tableColumn id="6" xr3:uid="{63EF5D07-D3AB-4F1D-9524-9A5688AC0D4C}" name="2025" totalsRowFunction="sum" dataDxfId="174" totalsRowDxfId="173"/>
    <tableColumn id="7" xr3:uid="{D4354322-29F9-4DF8-A429-A00A5FDE801D}" name="Kvartal 1 2026" totalsRowFunction="sum" dataDxfId="172" totalsRowDxfId="171"/>
    <tableColumn id="8" xr3:uid="{669C34CE-1120-4ECB-82E0-5D8D2E08CBC7}" name="Kvartal 2 2026" totalsRowFunction="sum" dataDxfId="170" totalsRowDxfId="169"/>
    <tableColumn id="9" xr3:uid="{9B660DBD-392E-454E-B2A6-E899E6A16D22}" name="Kvartal 3 2026" totalsRowFunction="sum" dataDxfId="168" totalsRowDxfId="167"/>
    <tableColumn id="10" xr3:uid="{37C4C281-C3F7-4D7A-BD40-612087902612}" name="Kvartal 4 2026" totalsRowFunction="sum" dataDxfId="166" totalsRowDxfId="165"/>
    <tableColumn id="11" xr3:uid="{D9D1C12F-818A-4516-A493-CE31EEFDD2DC}" name="2026" totalsRowFunction="sum" dataDxfId="164" totalsRowDxfId="163"/>
    <tableColumn id="12" xr3:uid="{90857948-B777-459F-9CAC-E1D85E3762A7}" name="Förändring kv 3 från 2025-2026" totalsRowFunction="custom" dataDxfId="162" totalsRowDxfId="161">
      <totalsRowFormula>M19/H19-1</totalsRowFormula>
    </tableColumn>
    <tableColumn id="13" xr3:uid="{C86F7E11-FE60-49C2-82B5-310C916A416F}" name="Förändring kv 1-3 från 2025–2026" totalsRowFunction="custom" dataDxfId="160" totalsRowDxfId="159">
      <totalsRowFormula>O19/SUM(F19:H19)-1</totalsRowFormula>
    </tableColumn>
    <tableColumn id="14" xr3:uid="{55DCF74E-7DCE-432A-8A3E-31A876879D8E}" name="Procentuell andel 2026*" totalsRowFunction="sum" dataDxfId="158" totalsRowDxfId="157"/>
  </tableColumns>
  <tableStyleInfo name="Kvartalsstatistik" showFirstColumn="1" showLastColumn="0" showRowStripes="1" showColumnStripes="0"/>
  <extLst>
    <ext xmlns:x14="http://schemas.microsoft.com/office/spreadsheetml/2009/9/main" uri="{504A1905-F514-4f6f-8877-14C23A59335A}">
      <x14:table altText="Tabell över antal slaktade grisar" altTextSummary="Tabellen visar de större slakterierna kvartalsvis i år och förra året samt årsvis ytterligare fyra år tillbaka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FD3D2A5-FBD3-4B00-9562-8A670DA3BBDE}" name="Tabell_Kalv" displayName="Tabell_Kalv" ref="A2:R24" totalsRowCount="1" headerRowDxfId="156" dataDxfId="155" totalsRowDxfId="154">
  <autoFilter ref="A2:R23" xr:uid="{00000000-0009-0000-0100-000009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xr3:uid="{26573C50-313C-4D7C-B7BA-F85BC4263CF2}" name="Anläggning" totalsRowLabel="Total svensk slakt" dataDxfId="153"/>
    <tableColumn id="19" xr3:uid="{3C0EE67C-4A8F-424F-A789-AB45E9C21C7E}" name="2021" totalsRowFunction="sum" dataDxfId="152" totalsRowDxfId="151"/>
    <tableColumn id="20" xr3:uid="{185799B8-86DC-4941-BCF1-E010CF72CC0E}" name="2022" totalsRowFunction="sum" dataDxfId="150" totalsRowDxfId="149"/>
    <tableColumn id="21" xr3:uid="{FD66A1A3-414E-4DE2-B9F5-C3DBF46B04C7}" name="2023" totalsRowFunction="sum" dataDxfId="148" totalsRowDxfId="147"/>
    <tableColumn id="22" xr3:uid="{B767258D-0C5D-46F4-88D2-EE74A45B2E67}" name="2024" totalsRowFunction="sum" dataDxfId="146" totalsRowDxfId="145"/>
    <tableColumn id="2" xr3:uid="{CE9C523D-ACA3-41F7-ADBF-BB7A104CF6DA}" name="Kvartal 1 2025" totalsRowFunction="sum" dataDxfId="144" totalsRowDxfId="143"/>
    <tableColumn id="3" xr3:uid="{A86B0C5C-20F7-4153-B270-F2EAE8CC1B8D}" name="Kvartal 2 2025" totalsRowFunction="sum" dataDxfId="142" totalsRowDxfId="141"/>
    <tableColumn id="4" xr3:uid="{BB98A283-161E-4699-B1B8-CCDC4FF7ABAC}" name="Kvartal 3 2025" totalsRowFunction="sum" dataDxfId="140" totalsRowDxfId="139"/>
    <tableColumn id="5" xr3:uid="{5421762F-D1A8-46B9-8CA7-607A0B2B51AC}" name="Kvartal 4 2025" totalsRowFunction="sum" dataDxfId="138" totalsRowDxfId="137"/>
    <tableColumn id="6" xr3:uid="{41CA6765-7162-444C-8877-19A8EEB768BB}" name="2025" totalsRowFunction="sum" dataDxfId="136" totalsRowDxfId="135"/>
    <tableColumn id="7" xr3:uid="{02A6F71B-D0FF-4EDF-BC70-EE2E9FD1FF4A}" name="Kvartal 1 2026" totalsRowFunction="sum" dataDxfId="134" totalsRowDxfId="133"/>
    <tableColumn id="8" xr3:uid="{FCB97DA5-59AA-4CE7-B481-64A388F29FED}" name="Kvartal 2 2026" totalsRowFunction="sum" dataDxfId="132" totalsRowDxfId="131"/>
    <tableColumn id="9" xr3:uid="{523840D2-540C-4C74-AD32-3D57044E8601}" name="Kvartal 3 2026" totalsRowFunction="sum" dataDxfId="130" totalsRowDxfId="129"/>
    <tableColumn id="10" xr3:uid="{680F825C-45D1-4E91-A8FB-89158F026F4B}" name="Kvartal 4 2026" totalsRowFunction="sum" dataDxfId="128" totalsRowDxfId="127"/>
    <tableColumn id="11" xr3:uid="{F9FD236C-BC69-4830-9039-52A77AD7A90E}" name="2026" totalsRowFunction="sum" dataDxfId="126" totalsRowDxfId="125"/>
    <tableColumn id="12" xr3:uid="{DF9F7052-03F3-40C8-937D-1D71BD01E520}" name="Förändring kv 3 från 2025-2026" totalsRowFunction="custom" dataDxfId="124" totalsRowDxfId="123">
      <totalsRowFormula>M24/H24-1</totalsRowFormula>
    </tableColumn>
    <tableColumn id="13" xr3:uid="{47418EFE-44A1-450F-8E06-F4D7349221A1}" name="Förändring kv 1-3 från 2025–2026" totalsRowFunction="custom" dataDxfId="122" totalsRowDxfId="121">
      <totalsRowFormula>O24/SUM(F24:H24)-1</totalsRowFormula>
    </tableColumn>
    <tableColumn id="14" xr3:uid="{A65673FF-1B3C-4876-AEA8-2D02126D53A7}" name="Procentuell andel 2026*" totalsRowFunction="sum" dataDxfId="120" totalsRowDxfId="119"/>
  </tableColumns>
  <tableStyleInfo name="Kvartalsstatistik" showFirstColumn="1" showLastColumn="0" showRowStripes="1" showColumnStripes="0"/>
  <extLst>
    <ext xmlns:x14="http://schemas.microsoft.com/office/spreadsheetml/2009/9/main" uri="{504A1905-F514-4f6f-8877-14C23A59335A}">
      <x14:table altText="Tabell över antal slaktade kalvar" altTextSummary="Tabellen visar de större slakterierna kvartalsvis i år och förra året samt årsvis ytterligare fyra år tillbaka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3B14E33-C621-4E4B-B94E-232C16A8E2E3}" name="Tabell_Storb" displayName="Tabell_Storb" ref="A2:R29" totalsRowCount="1" headerRowDxfId="118" totalsRowDxfId="117">
  <autoFilter ref="A2:R28" xr:uid="{00000000-0009-0000-0100-000008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xr3:uid="{C3AF1F7B-CC60-44E3-8D61-D965F409B616}" name="Anläggning" totalsRowLabel="Total svensk slakt" dataDxfId="116"/>
    <tableColumn id="19" xr3:uid="{BF44C173-84AE-443D-A4FD-E7A1BE4B47DE}" name="2021" totalsRowFunction="sum" dataDxfId="115" totalsRowDxfId="114"/>
    <tableColumn id="20" xr3:uid="{135066A5-ABA1-4450-92C1-2F05B7D8C0AA}" name="2022" totalsRowFunction="sum" dataDxfId="113" totalsRowDxfId="112"/>
    <tableColumn id="21" xr3:uid="{FA5A0E75-FBB3-491E-BADB-BA4FD5E6E22C}" name="2023" totalsRowFunction="sum" dataDxfId="111" totalsRowDxfId="110"/>
    <tableColumn id="22" xr3:uid="{DB393E84-D8B9-4DF5-882E-2A0471FAED48}" name="2024" totalsRowFunction="sum" dataDxfId="109" totalsRowDxfId="108"/>
    <tableColumn id="2" xr3:uid="{916E7797-A723-4B36-959C-4CEEA61E9128}" name="Kvartal 1 2025" totalsRowFunction="sum" dataDxfId="107" totalsRowDxfId="106"/>
    <tableColumn id="3" xr3:uid="{7C0B3115-E49E-445B-A69A-E7BC60D15E87}" name="Kvartal 2 2025" totalsRowFunction="sum" dataDxfId="105" totalsRowDxfId="104"/>
    <tableColumn id="4" xr3:uid="{BF28647D-AD1D-45E2-9E54-36A456D9B62C}" name="Kvartal 3 2025" totalsRowFunction="sum" dataDxfId="103" totalsRowDxfId="102"/>
    <tableColumn id="5" xr3:uid="{C225F11D-C153-4813-BEEE-DD30AACBF76C}" name="Kvartal 4 2025" totalsRowFunction="sum" dataDxfId="101" totalsRowDxfId="100"/>
    <tableColumn id="6" xr3:uid="{D8EC4D05-19DD-48E9-8ECC-FE7E87EC4B07}" name="2025" totalsRowFunction="sum" dataDxfId="99" totalsRowDxfId="98"/>
    <tableColumn id="7" xr3:uid="{14E35FDE-C338-45B7-8585-DA5052A6791A}" name="Kvartal 1 2026" totalsRowFunction="sum" dataDxfId="97" totalsRowDxfId="96"/>
    <tableColumn id="8" xr3:uid="{4AD62A35-80D4-4792-AC80-BC643C227328}" name="Kvartal 2 2026" totalsRowFunction="sum" dataDxfId="95" totalsRowDxfId="94"/>
    <tableColumn id="9" xr3:uid="{F549F89B-7609-43B9-BC3F-508B295E3B26}" name="Kvartal 3 2026" totalsRowFunction="sum" dataDxfId="93" totalsRowDxfId="92"/>
    <tableColumn id="10" xr3:uid="{58D14EE5-9B16-4D40-925B-52C204C2A024}" name="Kvartal 4 2026" totalsRowFunction="sum" dataDxfId="91" totalsRowDxfId="90"/>
    <tableColumn id="11" xr3:uid="{056CB4F7-D666-4E52-87B4-CCE8405E1F85}" name="2026" totalsRowFunction="sum" dataDxfId="89" totalsRowDxfId="88"/>
    <tableColumn id="12" xr3:uid="{852622BA-9B20-422E-94DF-BCB28B5B7DF8}" name="Förändring kv 3 från 2025-2026" totalsRowFunction="custom" dataDxfId="87" totalsRowDxfId="86">
      <totalsRowFormula>M29/H29-1</totalsRowFormula>
    </tableColumn>
    <tableColumn id="13" xr3:uid="{2ECA211F-D096-4895-B120-FAACD1F68F78}" name="Förändring kv 1-3 från 2025–2026" totalsRowFunction="custom" dataDxfId="85" totalsRowDxfId="84">
      <totalsRowFormula>O29/SUM(F29:H29)-1</totalsRowFormula>
    </tableColumn>
    <tableColumn id="14" xr3:uid="{611D4B5D-1320-48CD-A2C0-6A4C09B694F6}" name="Procentuell andel 2026*" totalsRowFunction="sum" dataDxfId="83" totalsRowDxfId="82"/>
  </tableColumns>
  <tableStyleInfo name="Kvartalsstatistik" showFirstColumn="1" showLastColumn="0" showRowStripes="1" showColumnStripes="0"/>
  <extLst>
    <ext xmlns:x14="http://schemas.microsoft.com/office/spreadsheetml/2009/9/main" uri="{504A1905-F514-4f6f-8877-14C23A59335A}">
      <x14:table altText="Tabell över antalet slaktade storboskap" altTextSummary="Tabellen visar de större slakterierna kvartalsvis i år och förra året samt årsvis ytterligare fyra år tillbaka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E86E18-8091-4F07-938D-877E0FB8EBCC}" name="Tabell_Får" displayName="Tabell_Får" ref="A2:R29" totalsRowCount="1" headerRowDxfId="81" totalsRowDxfId="80">
  <autoFilter ref="A2:R28" xr:uid="{00000000-0009-0000-0100-000006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xr3:uid="{575BC367-4920-4D36-B2CF-42C7C4EAA26B}" name="Anläggning" totalsRowLabel="Total svensk slakt" dataDxfId="79"/>
    <tableColumn id="19" xr3:uid="{E74578D0-2688-498A-A4DC-3ACF62EF0F79}" name="2021" totalsRowFunction="sum" dataDxfId="78" totalsRowDxfId="77"/>
    <tableColumn id="20" xr3:uid="{D2D6B8A1-264E-4C68-ACF6-BCEC4FAAA9C0}" name="2022" totalsRowFunction="sum" dataDxfId="76" totalsRowDxfId="75"/>
    <tableColumn id="21" xr3:uid="{103EB8B9-B4C4-4C20-A054-FE8AD20D9C07}" name="2023" totalsRowFunction="sum" dataDxfId="74" totalsRowDxfId="73"/>
    <tableColumn id="22" xr3:uid="{82CFA6CF-9FD6-48CA-BEBD-69132B90CB89}" name="2024" totalsRowFunction="sum" dataDxfId="72" totalsRowDxfId="71"/>
    <tableColumn id="2" xr3:uid="{08378DE8-30DA-4342-8210-A8F3BE8ECAE9}" name="Kvartal 1 2025" totalsRowFunction="sum" dataDxfId="70" totalsRowDxfId="69"/>
    <tableColumn id="3" xr3:uid="{0EE2B301-8E40-456B-B6FC-185125837ED0}" name="Kvartal 2 2025" totalsRowFunction="sum" dataDxfId="68" totalsRowDxfId="67"/>
    <tableColumn id="4" xr3:uid="{36330262-CEBE-46B1-A006-3F68DA03A92A}" name="Kvartal 3 2025" totalsRowFunction="sum" dataDxfId="66" totalsRowDxfId="65"/>
    <tableColumn id="5" xr3:uid="{B69CD7DE-ECA8-4321-A556-B8723598F9B3}" name="Kvartal 4 2025" totalsRowFunction="sum" dataDxfId="64" totalsRowDxfId="63"/>
    <tableColumn id="6" xr3:uid="{5738D46C-4479-4952-A2DF-79E371E36518}" name="2025" totalsRowFunction="sum" dataDxfId="62" totalsRowDxfId="61"/>
    <tableColumn id="7" xr3:uid="{5F000851-EC61-4773-9D18-13513CD95556}" name="Kvartal 1 2026" totalsRowFunction="sum" dataDxfId="60" totalsRowDxfId="59"/>
    <tableColumn id="8" xr3:uid="{B8E14C4B-1034-4378-B996-4F56A3BEBE10}" name="Kvartal 2 2026" totalsRowFunction="sum" dataDxfId="58" totalsRowDxfId="57"/>
    <tableColumn id="9" xr3:uid="{C19C514D-8CE8-47BF-861F-A715FEB22A42}" name="Kvartal 3 2026" totalsRowFunction="sum" dataDxfId="56" totalsRowDxfId="55"/>
    <tableColumn id="10" xr3:uid="{A28BAE8F-6DDB-4672-8B52-3B3FE0F4D87E}" name="Kvartal 4 2026" totalsRowFunction="sum" dataDxfId="54" totalsRowDxfId="53"/>
    <tableColumn id="11" xr3:uid="{F0812310-493B-4615-8F6C-D22801E92D4E}" name="2026" totalsRowFunction="sum" dataDxfId="52" totalsRowDxfId="51"/>
    <tableColumn id="12" xr3:uid="{B348FA82-FC88-40A3-8E9B-E3DE8A60471A}" name="Förändring kv 3 från 2025-2026" totalsRowFunction="custom" dataDxfId="50" totalsRowDxfId="49">
      <totalsRowFormula>M29/H29-1</totalsRowFormula>
    </tableColumn>
    <tableColumn id="13" xr3:uid="{6161636B-CC04-4DF0-9B3B-5911A4E3F230}" name="Förändring kv 1-3 från 2025–2026" totalsRowFunction="custom" dataDxfId="48" totalsRowDxfId="47">
      <totalsRowFormula>O29/SUM(F29:H29)-1</totalsRowFormula>
    </tableColumn>
    <tableColumn id="14" xr3:uid="{3713DFC1-E5DD-4085-A714-8ED085325284}" name="Procentuell andel 2026*" totalsRowFunction="sum" dataDxfId="46" totalsRowDxfId="45"/>
  </tableColumns>
  <tableStyleInfo name="Kvartalsstatistik" showFirstColumn="1" showLastColumn="0" showRowStripes="1" showColumnStripes="0"/>
  <extLst>
    <ext xmlns:x14="http://schemas.microsoft.com/office/spreadsheetml/2009/9/main" uri="{504A1905-F514-4f6f-8877-14C23A59335A}">
      <x14:table altText="Tabell över antal slaktade får och lamm" altTextSummary="Tabellen visar de större slakterierna kvartalsvis i år och förra året samt årsvis ytterligare fyra år tillbaka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9AD7099-3059-4852-BF72-0E93815E1156}" name="Tabell_Häst" displayName="Tabell_Häst" ref="A2:R13" totalsRowCount="1" headerRowDxfId="44" dataDxfId="43" totalsRowDxfId="42">
  <autoFilter ref="A2:R12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xr3:uid="{48072AF2-68E5-4F68-83D7-F9ED773B56A9}" name="Anläggning" totalsRowLabel="Total svensk slakt" dataDxfId="41"/>
    <tableColumn id="19" xr3:uid="{DF5A5C47-6FA5-4A2D-8807-2EEE7963FA50}" name="2021" totalsRowFunction="sum" dataDxfId="40" totalsRowDxfId="39"/>
    <tableColumn id="20" xr3:uid="{38F0A4A3-8EAE-4E35-AD8D-89D8A6129D0D}" name="2022" totalsRowFunction="sum" dataDxfId="38" totalsRowDxfId="37"/>
    <tableColumn id="21" xr3:uid="{476BF2C8-0F26-4003-AEB9-D421EF5A7A39}" name="2023" totalsRowFunction="sum" dataDxfId="36" totalsRowDxfId="35"/>
    <tableColumn id="22" xr3:uid="{EF720377-E3E5-4C4A-88FD-F345C3A869C8}" name="2024" totalsRowFunction="sum" dataDxfId="34" totalsRowDxfId="33"/>
    <tableColumn id="2" xr3:uid="{3C159A6D-A9FB-44FA-9FD1-A2B4D810A841}" name="Kvartal 1 2025" totalsRowFunction="sum" dataDxfId="32" totalsRowDxfId="31"/>
    <tableColumn id="3" xr3:uid="{1DD27792-8838-44C8-86A5-1CCA1D5D9B88}" name="Kvartal 2 2025" totalsRowFunction="sum" dataDxfId="30" totalsRowDxfId="29"/>
    <tableColumn id="4" xr3:uid="{9D4C924B-5AB4-4A8F-82DC-AB9BF3246CC9}" name="Kvartal 3 2025" totalsRowFunction="sum" dataDxfId="28" totalsRowDxfId="27"/>
    <tableColumn id="5" xr3:uid="{CE14B159-53C8-45F2-A66C-649C40F5C0BB}" name="Kvartal 4 2025" totalsRowFunction="sum" dataDxfId="26" totalsRowDxfId="25"/>
    <tableColumn id="6" xr3:uid="{695AE921-7CE3-4AE4-966D-06C64C3233F2}" name="2025" totalsRowFunction="sum" dataDxfId="24" totalsRowDxfId="23"/>
    <tableColumn id="7" xr3:uid="{1241FF94-8CC7-481B-A538-7A85EC768031}" name="Kvartal 1 2026" totalsRowFunction="sum" dataDxfId="22" totalsRowDxfId="21"/>
    <tableColumn id="8" xr3:uid="{11C0A678-442D-4784-A73E-06733FF64AB4}" name="Kvartal 2 2026" totalsRowFunction="sum" dataDxfId="20" totalsRowDxfId="19"/>
    <tableColumn id="9" xr3:uid="{29FFF55C-3487-4E30-8608-E56E424F43A3}" name="Kvartal 3 2026" totalsRowFunction="sum" dataDxfId="18" totalsRowDxfId="17"/>
    <tableColumn id="10" xr3:uid="{C09C3217-2AA8-4372-8DCD-0C9C1802E5F7}" name="Kvartal 4 2026" totalsRowFunction="sum" dataDxfId="16" totalsRowDxfId="15"/>
    <tableColumn id="11" xr3:uid="{53A7809A-6BAF-4536-911F-0CDBAD5E3327}" name="2026" totalsRowFunction="sum" dataDxfId="14" totalsRowDxfId="13"/>
    <tableColumn id="12" xr3:uid="{2682DF81-AF68-409A-AA92-C0A643700669}" name="Förändring kv 3 från 2025-2026" totalsRowFunction="custom" dataDxfId="12" totalsRowDxfId="11">
      <totalsRowFormula>M13/H13-1</totalsRowFormula>
    </tableColumn>
    <tableColumn id="13" xr3:uid="{7775052A-1E59-496C-973C-7D55F1B23A33}" name="Förändring kv 1-3 från 2025–2026" totalsRowFunction="custom" dataDxfId="10" totalsRowDxfId="9">
      <totalsRowFormula>O13/SUM(F13:H13)-1</totalsRowFormula>
    </tableColumn>
    <tableColumn id="14" xr3:uid="{C56E1B79-C79B-49A0-AA63-824D8A6F7562}" name="Procentuell andel 2026*" totalsRowFunction="sum" dataDxfId="8" totalsRowDxfId="7"/>
  </tableColumns>
  <tableStyleInfo name="Kvartalsstatistik" showFirstColumn="1" showLastColumn="0" showRowStripes="1" showColumnStripes="0"/>
  <extLst>
    <ext xmlns:x14="http://schemas.microsoft.com/office/spreadsheetml/2009/9/main" uri="{504A1905-F514-4f6f-8877-14C23A59335A}">
      <x14:table altText="Tabell över antal slaktade får och lamm" altTextSummary="Tabellen visar de större slakterierna kvartalsvis i år och förra året samt årsvis ytterligare fyra år tillbaka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F894913-885E-4DE2-BB59-7D78DB2BB3A3}" name="Tabell_Årshistorik" displayName="Tabell_Årshistorik" ref="A2:G28" totalsRowShown="0">
  <autoFilter ref="A2:G28" xr:uid="{D4AD92F7-E702-42E6-963F-C7916247EAC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sortState xmlns:xlrd2="http://schemas.microsoft.com/office/spreadsheetml/2017/richdata2" ref="A3:F18">
    <sortCondition descending="1" ref="A7"/>
  </sortState>
  <tableColumns count="7">
    <tableColumn id="1" xr3:uid="{ADE061AA-F92E-408E-B9A9-B509EF0511ED}" name="År" dataDxfId="6"/>
    <tableColumn id="2" xr3:uid="{F31D1E3E-7334-435F-88E7-762046B4C56D}" name="Svin" dataDxfId="5"/>
    <tableColumn id="3" xr3:uid="{3CC39A89-250E-44A9-B617-36FCE3E9E5FE}" name="Storboskap" dataDxfId="4"/>
    <tableColumn id="4" xr3:uid="{3017EFC4-05C2-44C7-AB1F-3295EE46CA0C}" name="Kalv" dataDxfId="3"/>
    <tableColumn id="5" xr3:uid="{645E5FB0-AB4B-4E15-9385-675AB401E52D}" name="Får" dataDxfId="2"/>
    <tableColumn id="7" xr3:uid="{FB5FD241-276D-4D0C-AFB0-50102469421D}" name="Häst" dataDxfId="1"/>
    <tableColumn id="6" xr3:uid="{DBF1C599-2294-4607-91E8-5CBBA7289484}" name="Get" dataDxfId="0"/>
  </tableColumns>
  <tableStyleInfo name="Kvartalsstatistik" showFirstColumn="1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9F7FF-1AD5-4D51-9B7B-373C53120641}">
  <sheetPr codeName="flSvin">
    <pageSetUpPr fitToPage="1"/>
  </sheetPr>
  <dimension ref="A1:S60"/>
  <sheetViews>
    <sheetView tabSelected="1" workbookViewId="0">
      <selection activeCell="A2" sqref="A2"/>
    </sheetView>
  </sheetViews>
  <sheetFormatPr defaultColWidth="9.140625" defaultRowHeight="15" x14ac:dyDescent="0.25"/>
  <cols>
    <col min="1" max="1" width="27" customWidth="1"/>
    <col min="2" max="2" width="8.85546875" bestFit="1" customWidth="1"/>
    <col min="3" max="3" width="9.42578125" customWidth="1"/>
    <col min="4" max="4" width="9.28515625" customWidth="1"/>
    <col min="5" max="5" width="9.140625" customWidth="1"/>
    <col min="6" max="9" width="8.28515625" customWidth="1"/>
    <col min="10" max="10" width="8.7109375" customWidth="1"/>
    <col min="11" max="14" width="8.28515625" customWidth="1"/>
    <col min="15" max="15" width="9.140625" customWidth="1"/>
    <col min="16" max="16" width="10.7109375" customWidth="1"/>
    <col min="17" max="17" width="11.28515625" customWidth="1"/>
    <col min="18" max="18" width="11.5703125" customWidth="1"/>
  </cols>
  <sheetData>
    <row r="1" spans="1:19" ht="92.25" customHeight="1" x14ac:dyDescent="0.25">
      <c r="A1" s="1" t="s">
        <v>0</v>
      </c>
      <c r="J1" s="1"/>
      <c r="R1" s="2"/>
    </row>
    <row r="2" spans="1:19" ht="4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4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4" t="s">
        <v>15</v>
      </c>
      <c r="P2" s="6" t="s">
        <v>16</v>
      </c>
      <c r="Q2" s="6" t="s">
        <v>17</v>
      </c>
      <c r="R2" s="7" t="s">
        <v>18</v>
      </c>
      <c r="S2" s="8"/>
    </row>
    <row r="3" spans="1:19" ht="15" customHeight="1" x14ac:dyDescent="0.25">
      <c r="A3" t="s">
        <v>19</v>
      </c>
      <c r="B3" s="9">
        <v>52910</v>
      </c>
      <c r="C3" s="9">
        <v>51544</v>
      </c>
      <c r="D3" s="9">
        <v>51504</v>
      </c>
      <c r="E3" s="9">
        <v>50636</v>
      </c>
      <c r="F3" s="10">
        <v>12988</v>
      </c>
      <c r="G3" s="10">
        <v>11983</v>
      </c>
      <c r="H3" s="10">
        <v>12283</v>
      </c>
      <c r="I3" s="10">
        <v>11958</v>
      </c>
      <c r="J3" s="9">
        <v>49212</v>
      </c>
      <c r="K3" s="11">
        <v>12860</v>
      </c>
      <c r="L3" s="11">
        <v>12277</v>
      </c>
      <c r="M3" s="11">
        <v>12235</v>
      </c>
      <c r="N3" s="11"/>
      <c r="O3" s="9">
        <v>37372</v>
      </c>
      <c r="P3" s="12">
        <v>-3.9078401042090816E-3</v>
      </c>
      <c r="Q3" s="12">
        <v>3.1674451065657472E-3</v>
      </c>
      <c r="R3" s="13">
        <v>1.8647539449884613E-2</v>
      </c>
      <c r="S3" s="14"/>
    </row>
    <row r="4" spans="1:19" ht="15" customHeight="1" x14ac:dyDescent="0.25">
      <c r="A4" t="s">
        <v>20</v>
      </c>
      <c r="B4" s="9">
        <v>2179</v>
      </c>
      <c r="C4" s="9">
        <v>2226</v>
      </c>
      <c r="D4" s="9">
        <v>1630</v>
      </c>
      <c r="E4" s="9">
        <v>1893</v>
      </c>
      <c r="F4" s="10">
        <v>443</v>
      </c>
      <c r="G4" s="10">
        <v>487</v>
      </c>
      <c r="H4" s="10">
        <v>460</v>
      </c>
      <c r="I4" s="10">
        <v>554</v>
      </c>
      <c r="J4" s="9">
        <v>1944</v>
      </c>
      <c r="K4" s="11">
        <v>450</v>
      </c>
      <c r="L4" s="11">
        <v>530</v>
      </c>
      <c r="M4" s="11">
        <v>502</v>
      </c>
      <c r="N4" s="11"/>
      <c r="O4" s="9">
        <v>1482</v>
      </c>
      <c r="P4" s="12">
        <v>9.1304347826086873E-2</v>
      </c>
      <c r="Q4" s="12">
        <v>6.6187050359712174E-2</v>
      </c>
      <c r="R4" s="13">
        <v>7.394748331566145E-4</v>
      </c>
    </row>
    <row r="5" spans="1:19" ht="15" customHeight="1" x14ac:dyDescent="0.25">
      <c r="A5" t="s">
        <v>21</v>
      </c>
      <c r="B5" s="9">
        <v>204679</v>
      </c>
      <c r="C5" s="9">
        <v>210698</v>
      </c>
      <c r="D5" s="9">
        <v>208268</v>
      </c>
      <c r="E5" s="9">
        <v>213722</v>
      </c>
      <c r="F5" s="10">
        <v>54523</v>
      </c>
      <c r="G5" s="10">
        <v>51330</v>
      </c>
      <c r="H5" s="10">
        <v>57767</v>
      </c>
      <c r="I5" s="10">
        <v>58228</v>
      </c>
      <c r="J5" s="9">
        <v>221848</v>
      </c>
      <c r="K5" s="11">
        <v>60861</v>
      </c>
      <c r="L5" s="11">
        <v>59993</v>
      </c>
      <c r="M5" s="11">
        <v>60715</v>
      </c>
      <c r="N5" s="11"/>
      <c r="O5" s="9">
        <v>181569</v>
      </c>
      <c r="P5" s="12">
        <v>5.1032596465109936E-2</v>
      </c>
      <c r="Q5" s="12">
        <v>0.10969930326365973</v>
      </c>
      <c r="R5" s="13">
        <v>9.0597642362627087E-2</v>
      </c>
    </row>
    <row r="6" spans="1:19" ht="15" customHeight="1" x14ac:dyDescent="0.25">
      <c r="A6" t="s">
        <v>22</v>
      </c>
      <c r="B6" s="9">
        <v>75524</v>
      </c>
      <c r="C6" s="9">
        <v>67029</v>
      </c>
      <c r="D6" s="9">
        <v>52236</v>
      </c>
      <c r="E6" s="9">
        <v>50037</v>
      </c>
      <c r="F6" s="10">
        <v>12581</v>
      </c>
      <c r="G6" s="10">
        <v>11267</v>
      </c>
      <c r="H6" s="10">
        <v>11197</v>
      </c>
      <c r="I6" s="10">
        <v>12266</v>
      </c>
      <c r="J6" s="9">
        <v>47311</v>
      </c>
      <c r="K6" s="11">
        <v>12409</v>
      </c>
      <c r="L6" s="11">
        <v>4107</v>
      </c>
      <c r="M6" s="11"/>
      <c r="N6" s="11"/>
      <c r="O6" s="9">
        <v>16516</v>
      </c>
      <c r="P6" s="12">
        <v>-1</v>
      </c>
      <c r="Q6" s="12">
        <v>-0.52872021686403192</v>
      </c>
      <c r="R6" s="13">
        <v>8.2410029314538766E-3</v>
      </c>
    </row>
    <row r="7" spans="1:19" ht="15" customHeight="1" x14ac:dyDescent="0.25">
      <c r="A7" t="s">
        <v>23</v>
      </c>
      <c r="B7" s="9">
        <v>58126</v>
      </c>
      <c r="C7" s="9">
        <v>60953</v>
      </c>
      <c r="D7" s="9">
        <v>56468</v>
      </c>
      <c r="E7" s="9">
        <v>61751</v>
      </c>
      <c r="F7" s="10">
        <v>15253</v>
      </c>
      <c r="G7" s="10">
        <v>13502</v>
      </c>
      <c r="H7" s="10">
        <v>16374</v>
      </c>
      <c r="I7" s="10">
        <v>14746</v>
      </c>
      <c r="J7" s="9">
        <v>59875</v>
      </c>
      <c r="K7" s="11">
        <v>15283</v>
      </c>
      <c r="L7" s="11">
        <v>13997</v>
      </c>
      <c r="M7" s="11">
        <v>15707</v>
      </c>
      <c r="N7" s="11"/>
      <c r="O7" s="9">
        <v>44987</v>
      </c>
      <c r="P7" s="12">
        <v>-4.073531208012704E-2</v>
      </c>
      <c r="Q7" s="12">
        <v>-3.1465354871590412E-3</v>
      </c>
      <c r="R7" s="13">
        <v>2.2447202644545625E-2</v>
      </c>
    </row>
    <row r="8" spans="1:19" ht="15" customHeight="1" x14ac:dyDescent="0.25">
      <c r="A8" t="s">
        <v>24</v>
      </c>
      <c r="B8" s="9">
        <v>396781</v>
      </c>
      <c r="C8" s="9">
        <v>399539</v>
      </c>
      <c r="D8" s="9">
        <v>382237</v>
      </c>
      <c r="E8" s="9">
        <v>390505</v>
      </c>
      <c r="F8" s="10">
        <v>97876</v>
      </c>
      <c r="G8" s="10">
        <v>94933</v>
      </c>
      <c r="H8" s="10">
        <v>99271</v>
      </c>
      <c r="I8" s="10">
        <v>97354</v>
      </c>
      <c r="J8" s="9">
        <v>389434</v>
      </c>
      <c r="K8" s="11">
        <v>101274</v>
      </c>
      <c r="L8" s="11">
        <v>96176</v>
      </c>
      <c r="M8" s="11">
        <v>90715</v>
      </c>
      <c r="N8" s="11"/>
      <c r="O8" s="9">
        <v>288165</v>
      </c>
      <c r="P8" s="12">
        <v>-8.6188312800314248E-2</v>
      </c>
      <c r="Q8" s="12">
        <v>-1.3403861955628593E-2</v>
      </c>
      <c r="R8" s="13">
        <v>0.1437859414956652</v>
      </c>
    </row>
    <row r="9" spans="1:19" ht="15" customHeight="1" x14ac:dyDescent="0.25">
      <c r="A9" t="s">
        <v>25</v>
      </c>
      <c r="B9" s="9">
        <v>393976</v>
      </c>
      <c r="C9" s="9">
        <v>399235</v>
      </c>
      <c r="D9" s="9">
        <v>368386</v>
      </c>
      <c r="E9" s="9">
        <v>389750</v>
      </c>
      <c r="F9" s="10">
        <v>98404</v>
      </c>
      <c r="G9" s="10">
        <v>93063</v>
      </c>
      <c r="H9" s="10">
        <v>94455</v>
      </c>
      <c r="I9" s="10">
        <v>96848</v>
      </c>
      <c r="J9" s="9">
        <v>382770</v>
      </c>
      <c r="K9" s="11">
        <v>101051</v>
      </c>
      <c r="L9" s="11">
        <v>95752</v>
      </c>
      <c r="M9" s="11">
        <v>105231</v>
      </c>
      <c r="N9" s="11"/>
      <c r="O9" s="9">
        <v>302034</v>
      </c>
      <c r="P9" s="12">
        <v>0.11408607273304749</v>
      </c>
      <c r="Q9" s="12">
        <v>5.6351032799154988E-2</v>
      </c>
      <c r="R9" s="13">
        <v>0.1507061685274122</v>
      </c>
    </row>
    <row r="10" spans="1:19" ht="15" customHeight="1" x14ac:dyDescent="0.25">
      <c r="A10" t="s">
        <v>26</v>
      </c>
      <c r="B10" s="9">
        <v>247645</v>
      </c>
      <c r="C10" s="9">
        <v>244006</v>
      </c>
      <c r="D10" s="9">
        <v>232800</v>
      </c>
      <c r="E10" s="9">
        <v>235701</v>
      </c>
      <c r="F10" s="10">
        <v>57318</v>
      </c>
      <c r="G10" s="10">
        <v>54513</v>
      </c>
      <c r="H10" s="10">
        <v>60754</v>
      </c>
      <c r="I10" s="10">
        <v>57199</v>
      </c>
      <c r="J10" s="9">
        <v>229784</v>
      </c>
      <c r="K10" s="11">
        <v>59937</v>
      </c>
      <c r="L10" s="11">
        <v>58702</v>
      </c>
      <c r="M10" s="11">
        <v>61746</v>
      </c>
      <c r="N10" s="11"/>
      <c r="O10" s="9">
        <v>180385</v>
      </c>
      <c r="P10" s="12">
        <v>1.632814300292984E-2</v>
      </c>
      <c r="Q10" s="12">
        <v>4.5195121244604008E-2</v>
      </c>
      <c r="R10" s="13">
        <v>9.0006860849497911E-2</v>
      </c>
    </row>
    <row r="11" spans="1:19" ht="15" customHeight="1" x14ac:dyDescent="0.25">
      <c r="A11" t="s">
        <v>27</v>
      </c>
      <c r="B11" s="9">
        <v>35961</v>
      </c>
      <c r="C11" s="9">
        <v>39651</v>
      </c>
      <c r="D11" s="9">
        <v>35146</v>
      </c>
      <c r="E11" s="9">
        <v>31721</v>
      </c>
      <c r="F11" s="10">
        <v>7745</v>
      </c>
      <c r="G11" s="10">
        <v>8581</v>
      </c>
      <c r="H11" s="10">
        <v>10171</v>
      </c>
      <c r="I11" s="10">
        <v>10884</v>
      </c>
      <c r="J11" s="9">
        <v>37381</v>
      </c>
      <c r="K11" s="11">
        <v>10679</v>
      </c>
      <c r="L11" s="11">
        <v>10696</v>
      </c>
      <c r="M11" s="11">
        <v>10617</v>
      </c>
      <c r="N11" s="11"/>
      <c r="O11" s="9">
        <v>31992</v>
      </c>
      <c r="P11" s="12">
        <v>4.3850162225936407E-2</v>
      </c>
      <c r="Q11" s="12">
        <v>0.20738196776993623</v>
      </c>
      <c r="R11" s="13">
        <v>1.5963076155429426E-2</v>
      </c>
    </row>
    <row r="12" spans="1:19" ht="15" customHeight="1" x14ac:dyDescent="0.25">
      <c r="A12" t="s">
        <v>28</v>
      </c>
      <c r="B12" s="9">
        <v>32085</v>
      </c>
      <c r="C12" s="9">
        <v>28556</v>
      </c>
      <c r="D12" s="9">
        <v>23771</v>
      </c>
      <c r="E12" s="9">
        <v>22532</v>
      </c>
      <c r="F12" s="10">
        <v>3249</v>
      </c>
      <c r="G12" s="10">
        <v>4378</v>
      </c>
      <c r="H12" s="10">
        <v>4338</v>
      </c>
      <c r="I12" s="10">
        <v>4094</v>
      </c>
      <c r="J12" s="9">
        <v>16059</v>
      </c>
      <c r="K12" s="11">
        <v>4814</v>
      </c>
      <c r="L12" s="11">
        <v>4612</v>
      </c>
      <c r="M12" s="11">
        <v>4302</v>
      </c>
      <c r="N12" s="11"/>
      <c r="O12" s="9">
        <v>13728</v>
      </c>
      <c r="P12" s="12">
        <v>-8.2987551867219622E-3</v>
      </c>
      <c r="Q12" s="12">
        <v>0.14734642707898038</v>
      </c>
      <c r="R12" s="13">
        <v>6.8498721387139022E-3</v>
      </c>
    </row>
    <row r="13" spans="1:19" ht="15" customHeight="1" x14ac:dyDescent="0.25">
      <c r="A13" t="s">
        <v>29</v>
      </c>
      <c r="B13" s="9">
        <v>70437</v>
      </c>
      <c r="C13" s="9">
        <v>68452</v>
      </c>
      <c r="D13" s="9">
        <v>64095</v>
      </c>
      <c r="E13" s="9">
        <v>65143</v>
      </c>
      <c r="F13" s="10">
        <v>16784</v>
      </c>
      <c r="G13" s="10">
        <v>16131</v>
      </c>
      <c r="H13" s="10">
        <v>16339</v>
      </c>
      <c r="I13" s="10">
        <v>14676</v>
      </c>
      <c r="J13" s="9">
        <v>63930</v>
      </c>
      <c r="K13" s="11">
        <v>15254</v>
      </c>
      <c r="L13" s="11">
        <v>13516</v>
      </c>
      <c r="M13" s="11">
        <v>14237</v>
      </c>
      <c r="N13" s="11"/>
      <c r="O13" s="9">
        <v>43007</v>
      </c>
      <c r="P13" s="12">
        <v>-0.12864924413978829</v>
      </c>
      <c r="Q13" s="12">
        <v>-0.12683233849027487</v>
      </c>
      <c r="R13" s="13">
        <v>2.1459240316846505E-2</v>
      </c>
    </row>
    <row r="14" spans="1:19" ht="15" customHeight="1" x14ac:dyDescent="0.25">
      <c r="A14" t="s">
        <v>30</v>
      </c>
      <c r="B14" s="9">
        <v>2365</v>
      </c>
      <c r="C14" s="9">
        <v>2289</v>
      </c>
      <c r="D14" s="9">
        <v>2697</v>
      </c>
      <c r="E14" s="9">
        <v>2706</v>
      </c>
      <c r="F14" s="10">
        <v>487</v>
      </c>
      <c r="G14" s="10">
        <v>709</v>
      </c>
      <c r="H14" s="10">
        <v>639</v>
      </c>
      <c r="I14" s="10">
        <v>700</v>
      </c>
      <c r="J14" s="9">
        <v>2535</v>
      </c>
      <c r="K14" s="11">
        <v>405</v>
      </c>
      <c r="L14" s="11">
        <v>589</v>
      </c>
      <c r="M14" s="11">
        <v>557</v>
      </c>
      <c r="N14" s="11"/>
      <c r="O14" s="9">
        <v>1551</v>
      </c>
      <c r="P14" s="12">
        <v>-0.12832550860719871</v>
      </c>
      <c r="Q14" s="12">
        <v>-0.15476839237057216</v>
      </c>
      <c r="R14" s="13">
        <v>7.7390382336431113E-4</v>
      </c>
    </row>
    <row r="15" spans="1:19" ht="15" customHeight="1" x14ac:dyDescent="0.25">
      <c r="A15" t="s">
        <v>31</v>
      </c>
      <c r="B15" s="9">
        <v>384</v>
      </c>
      <c r="C15" s="9">
        <v>613</v>
      </c>
      <c r="D15" s="9">
        <v>594</v>
      </c>
      <c r="E15" s="9">
        <v>1185</v>
      </c>
      <c r="F15" s="10">
        <v>264</v>
      </c>
      <c r="G15" s="10">
        <v>316</v>
      </c>
      <c r="H15" s="10">
        <v>271</v>
      </c>
      <c r="I15" s="10">
        <v>403</v>
      </c>
      <c r="J15" s="9">
        <v>1254</v>
      </c>
      <c r="K15" s="11">
        <v>238</v>
      </c>
      <c r="L15" s="11">
        <v>267</v>
      </c>
      <c r="M15" s="11">
        <v>219</v>
      </c>
      <c r="N15" s="11"/>
      <c r="O15" s="9">
        <v>724</v>
      </c>
      <c r="P15" s="12">
        <v>-0.19188191881918815</v>
      </c>
      <c r="Q15" s="12">
        <v>-0.14923619271445354</v>
      </c>
      <c r="R15" s="13">
        <v>3.6125491174452692E-4</v>
      </c>
    </row>
    <row r="16" spans="1:19" ht="15" customHeight="1" x14ac:dyDescent="0.25">
      <c r="A16" t="s">
        <v>32</v>
      </c>
      <c r="B16" s="9">
        <v>712620</v>
      </c>
      <c r="C16" s="9">
        <v>730029</v>
      </c>
      <c r="D16" s="9">
        <v>738536</v>
      </c>
      <c r="E16" s="9">
        <v>719917</v>
      </c>
      <c r="F16" s="10">
        <v>189957</v>
      </c>
      <c r="G16" s="10">
        <v>180511</v>
      </c>
      <c r="H16" s="10">
        <v>191315</v>
      </c>
      <c r="I16" s="10">
        <v>180787</v>
      </c>
      <c r="J16" s="9">
        <v>742570</v>
      </c>
      <c r="K16" s="11">
        <v>193516</v>
      </c>
      <c r="L16" s="11">
        <v>193289</v>
      </c>
      <c r="M16" s="11">
        <v>211145</v>
      </c>
      <c r="N16" s="11"/>
      <c r="O16" s="9">
        <v>597950</v>
      </c>
      <c r="P16" s="12">
        <v>0.10365104670308134</v>
      </c>
      <c r="Q16" s="12">
        <v>6.4378950591242434E-2</v>
      </c>
      <c r="R16" s="13">
        <v>0.29835963325640863</v>
      </c>
    </row>
    <row r="17" spans="1:18" ht="15" customHeight="1" x14ac:dyDescent="0.25">
      <c r="A17" t="s">
        <v>33</v>
      </c>
      <c r="B17" s="9">
        <v>334384</v>
      </c>
      <c r="C17" s="9">
        <v>340815</v>
      </c>
      <c r="D17" s="9">
        <v>334188</v>
      </c>
      <c r="E17" s="9">
        <v>329244</v>
      </c>
      <c r="F17" s="10">
        <v>89026</v>
      </c>
      <c r="G17" s="10">
        <v>83106</v>
      </c>
      <c r="H17" s="10">
        <v>87843</v>
      </c>
      <c r="I17" s="10">
        <v>85597</v>
      </c>
      <c r="J17" s="9">
        <v>345572</v>
      </c>
      <c r="K17" s="11">
        <v>89212</v>
      </c>
      <c r="L17" s="11">
        <v>83094</v>
      </c>
      <c r="M17" s="11">
        <v>85629</v>
      </c>
      <c r="N17" s="11"/>
      <c r="O17" s="9">
        <v>257935</v>
      </c>
      <c r="P17" s="12">
        <v>-2.5204057238482291E-2</v>
      </c>
      <c r="Q17" s="12">
        <v>-7.8469083565727571E-3</v>
      </c>
      <c r="R17" s="13">
        <v>0.12870205201771345</v>
      </c>
    </row>
    <row r="18" spans="1:18" ht="15" customHeight="1" x14ac:dyDescent="0.25">
      <c r="A18" t="s">
        <v>34</v>
      </c>
      <c r="B18" s="9">
        <v>27791</v>
      </c>
      <c r="C18" s="9">
        <v>23293</v>
      </c>
      <c r="D18" s="9">
        <v>15778</v>
      </c>
      <c r="E18" s="9">
        <v>10193</v>
      </c>
      <c r="F18" s="10">
        <v>1374</v>
      </c>
      <c r="G18" s="10">
        <v>1984</v>
      </c>
      <c r="H18" s="10">
        <v>1958</v>
      </c>
      <c r="I18" s="10">
        <v>2565</v>
      </c>
      <c r="J18" s="9">
        <v>7881</v>
      </c>
      <c r="K18" s="11">
        <v>1104</v>
      </c>
      <c r="L18" s="11">
        <v>1815</v>
      </c>
      <c r="M18" s="11">
        <v>1809</v>
      </c>
      <c r="N18" s="11"/>
      <c r="O18" s="9">
        <v>4728</v>
      </c>
      <c r="P18" s="12">
        <v>-7.6098059244126715E-2</v>
      </c>
      <c r="Q18" s="12">
        <v>-0.1106094808126411</v>
      </c>
      <c r="R18" s="13">
        <v>2.3591342855360819E-3</v>
      </c>
    </row>
    <row r="19" spans="1:18" ht="15" customHeight="1" x14ac:dyDescent="0.25">
      <c r="A19" t="s">
        <v>35</v>
      </c>
      <c r="B19" s="9">
        <f>SUBTOTAL(109,Tabell_Gris[2021])</f>
        <v>2647847</v>
      </c>
      <c r="C19" s="9">
        <f>SUBTOTAL(109,Tabell_Gris[2022])</f>
        <v>2668928</v>
      </c>
      <c r="D19" s="9">
        <f>SUBTOTAL(109,Tabell_Gris[2023])</f>
        <v>2568334</v>
      </c>
      <c r="E19" s="9">
        <f>SUBTOTAL(109,Tabell_Gris[2024])</f>
        <v>2576636</v>
      </c>
      <c r="F19" s="9">
        <f>SUBTOTAL(109,Tabell_Gris[Kvartal 1 2025])</f>
        <v>658272</v>
      </c>
      <c r="G19" s="9">
        <f>SUBTOTAL(109,Tabell_Gris[Kvartal 2 2025])</f>
        <v>626794</v>
      </c>
      <c r="H19" s="9">
        <f>SUBTOTAL(109,Tabell_Gris[Kvartal 3 2025])</f>
        <v>665435</v>
      </c>
      <c r="I19" s="9">
        <f>SUBTOTAL(109,Tabell_Gris[Kvartal 4 2025])</f>
        <v>648859</v>
      </c>
      <c r="J19" s="9">
        <f>SUBTOTAL(109,Tabell_Gris[2025])</f>
        <v>2599360</v>
      </c>
      <c r="K19" s="9">
        <f>SUBTOTAL(109,Tabell_Gris[Kvartal 1 2026])</f>
        <v>679347</v>
      </c>
      <c r="L19" s="9">
        <f>SUBTOTAL(109,Tabell_Gris[Kvartal 2 2026])</f>
        <v>649412</v>
      </c>
      <c r="M19" s="9">
        <f>SUBTOTAL(109,Tabell_Gris[Kvartal 3 2026])</f>
        <v>675366</v>
      </c>
      <c r="N19" s="9">
        <f>SUBTOTAL(109,Tabell_Gris[Kvartal 4 2026])</f>
        <v>0</v>
      </c>
      <c r="O19" s="9">
        <f>SUBTOTAL(109,Tabell_Gris[2026])</f>
        <v>2004125</v>
      </c>
      <c r="P19" s="15">
        <f>M19/H19-1</f>
        <v>1.4924072223432727E-2</v>
      </c>
      <c r="Q19" s="15">
        <f>O19/SUM(F19:H19)-1</f>
        <v>2.7492423741387384E-2</v>
      </c>
      <c r="R19" s="13">
        <f>SUBTOTAL(109,Tabell_Gris[Procentuell andel 2026*])</f>
        <v>1</v>
      </c>
    </row>
    <row r="20" spans="1:18" ht="15" customHeight="1" x14ac:dyDescent="0.25">
      <c r="A20" t="s">
        <v>36</v>
      </c>
    </row>
    <row r="21" spans="1:18" ht="15" customHeight="1" x14ac:dyDescent="0.25">
      <c r="A21" t="s">
        <v>37</v>
      </c>
    </row>
    <row r="22" spans="1:18" ht="15" customHeight="1" x14ac:dyDescent="0.25">
      <c r="A22" t="s">
        <v>38</v>
      </c>
    </row>
    <row r="23" spans="1:18" ht="15" customHeight="1" x14ac:dyDescent="0.25">
      <c r="A23" t="s">
        <v>39</v>
      </c>
    </row>
    <row r="24" spans="1:18" ht="15" customHeight="1" x14ac:dyDescent="0.25"/>
    <row r="25" spans="1:18" ht="15" customHeight="1" x14ac:dyDescent="0.25"/>
    <row r="26" spans="1:18" ht="15" customHeight="1" x14ac:dyDescent="0.25"/>
    <row r="27" spans="1:18" ht="15" customHeight="1" x14ac:dyDescent="0.25"/>
    <row r="28" spans="1:18" ht="15" customHeight="1" x14ac:dyDescent="0.25"/>
    <row r="29" spans="1:18" ht="15" customHeight="1" x14ac:dyDescent="0.25"/>
    <row r="30" spans="1:18" ht="15" customHeight="1" x14ac:dyDescent="0.25"/>
    <row r="31" spans="1:18" ht="15" customHeight="1" x14ac:dyDescent="0.25"/>
    <row r="32" spans="1:18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</sheetData>
  <pageMargins left="0.70866141732283472" right="0.31496062992125984" top="0.55118110236220474" bottom="0.74803149606299213" header="0.31496062992125984" footer="0.31496062992125984"/>
  <pageSetup paperSize="9" scale="76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9BD62-1212-4BC4-8DAD-8F5D6DC075CE}">
  <sheetPr codeName="flKalv">
    <pageSetUpPr fitToPage="1"/>
  </sheetPr>
  <dimension ref="A1:W69"/>
  <sheetViews>
    <sheetView workbookViewId="0">
      <selection activeCell="A2" sqref="A2"/>
    </sheetView>
  </sheetViews>
  <sheetFormatPr defaultColWidth="9.140625" defaultRowHeight="15" x14ac:dyDescent="0.25"/>
  <cols>
    <col min="1" max="1" width="27" customWidth="1"/>
    <col min="2" max="15" width="8.28515625" customWidth="1"/>
    <col min="16" max="16" width="9.28515625" customWidth="1"/>
    <col min="17" max="17" width="10.140625" customWidth="1"/>
    <col min="18" max="18" width="10" customWidth="1"/>
  </cols>
  <sheetData>
    <row r="1" spans="1:23" ht="92.25" customHeight="1" x14ac:dyDescent="0.25">
      <c r="A1" s="1" t="s">
        <v>40</v>
      </c>
      <c r="C1" s="1"/>
      <c r="J1" s="1"/>
      <c r="R1" s="2"/>
    </row>
    <row r="2" spans="1:23" ht="4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4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4" t="s">
        <v>15</v>
      </c>
      <c r="P2" s="6" t="s">
        <v>16</v>
      </c>
      <c r="Q2" s="6" t="s">
        <v>17</v>
      </c>
      <c r="R2" s="7" t="s">
        <v>18</v>
      </c>
    </row>
    <row r="3" spans="1:23" ht="15" customHeight="1" x14ac:dyDescent="0.25">
      <c r="A3" t="s">
        <v>41</v>
      </c>
      <c r="B3" s="9">
        <v>62</v>
      </c>
      <c r="C3" s="9">
        <v>58</v>
      </c>
      <c r="D3" s="9">
        <v>59</v>
      </c>
      <c r="E3" s="9">
        <v>61</v>
      </c>
      <c r="F3" s="10">
        <v>17</v>
      </c>
      <c r="G3" s="10">
        <v>13</v>
      </c>
      <c r="H3" s="10">
        <v>14</v>
      </c>
      <c r="I3" s="10">
        <v>15</v>
      </c>
      <c r="J3" s="9">
        <v>59</v>
      </c>
      <c r="K3" s="11">
        <v>7</v>
      </c>
      <c r="L3" s="11"/>
      <c r="M3" s="11"/>
      <c r="N3" s="11"/>
      <c r="O3" s="9">
        <v>7</v>
      </c>
      <c r="P3" s="15">
        <v>-1</v>
      </c>
      <c r="Q3" s="12">
        <v>-0.84090909090909094</v>
      </c>
      <c r="R3" s="13">
        <v>2.0057306590257878E-3</v>
      </c>
      <c r="U3" s="16" t="s">
        <v>42</v>
      </c>
    </row>
    <row r="4" spans="1:23" ht="15" customHeight="1" x14ac:dyDescent="0.25">
      <c r="A4" t="s">
        <v>43</v>
      </c>
      <c r="B4" s="9">
        <v>3</v>
      </c>
      <c r="C4" s="9">
        <v>9</v>
      </c>
      <c r="D4" s="9">
        <v>4</v>
      </c>
      <c r="E4" s="9">
        <v>2</v>
      </c>
      <c r="F4" s="10">
        <v>1</v>
      </c>
      <c r="G4" s="10"/>
      <c r="H4" s="10"/>
      <c r="I4" s="10">
        <v>2</v>
      </c>
      <c r="J4" s="9">
        <v>3</v>
      </c>
      <c r="K4" s="11">
        <v>5</v>
      </c>
      <c r="L4" s="11">
        <v>1</v>
      </c>
      <c r="M4" s="11">
        <v>1</v>
      </c>
      <c r="N4" s="11"/>
      <c r="O4" s="9">
        <v>7</v>
      </c>
      <c r="P4" s="15" t="s">
        <v>44</v>
      </c>
      <c r="Q4" s="12">
        <v>6</v>
      </c>
      <c r="R4" s="13">
        <v>2.0057306590257878E-3</v>
      </c>
    </row>
    <row r="5" spans="1:23" ht="15" customHeight="1" x14ac:dyDescent="0.25">
      <c r="A5" t="s">
        <v>45</v>
      </c>
      <c r="B5" s="9">
        <v>100</v>
      </c>
      <c r="C5" s="9">
        <v>130</v>
      </c>
      <c r="D5" s="9">
        <v>135</v>
      </c>
      <c r="E5" s="9">
        <v>119</v>
      </c>
      <c r="F5" s="10">
        <v>33</v>
      </c>
      <c r="G5" s="10">
        <v>50</v>
      </c>
      <c r="H5" s="10">
        <v>38</v>
      </c>
      <c r="I5" s="10">
        <v>42</v>
      </c>
      <c r="J5" s="9">
        <v>163</v>
      </c>
      <c r="K5" s="11">
        <v>51</v>
      </c>
      <c r="L5" s="11">
        <v>47</v>
      </c>
      <c r="M5" s="11">
        <v>29</v>
      </c>
      <c r="N5" s="11"/>
      <c r="O5" s="9">
        <v>127</v>
      </c>
      <c r="P5" s="15">
        <v>-0.23684210526315785</v>
      </c>
      <c r="Q5" s="12">
        <v>4.9586776859504189E-2</v>
      </c>
      <c r="R5" s="13">
        <v>3.6389684813753584E-2</v>
      </c>
    </row>
    <row r="6" spans="1:23" ht="15" customHeight="1" x14ac:dyDescent="0.25">
      <c r="A6" t="s">
        <v>21</v>
      </c>
      <c r="B6" s="9">
        <v>245</v>
      </c>
      <c r="C6" s="9">
        <v>230</v>
      </c>
      <c r="D6" s="9">
        <v>209</v>
      </c>
      <c r="E6" s="9">
        <v>319</v>
      </c>
      <c r="F6" s="10">
        <v>57</v>
      </c>
      <c r="G6" s="10">
        <v>39</v>
      </c>
      <c r="H6" s="10">
        <v>30</v>
      </c>
      <c r="I6" s="10">
        <v>57</v>
      </c>
      <c r="J6" s="9">
        <v>183</v>
      </c>
      <c r="K6" s="11">
        <v>26</v>
      </c>
      <c r="L6" s="11">
        <v>36</v>
      </c>
      <c r="M6" s="11">
        <v>35</v>
      </c>
      <c r="N6" s="11"/>
      <c r="O6" s="9">
        <v>97</v>
      </c>
      <c r="P6" s="15">
        <v>0.16666666666666674</v>
      </c>
      <c r="Q6" s="12">
        <v>-0.23015873015873012</v>
      </c>
      <c r="R6" s="13">
        <v>2.7793696275071632E-2</v>
      </c>
      <c r="W6" s="16" t="s">
        <v>46</v>
      </c>
    </row>
    <row r="7" spans="1:23" ht="15" customHeight="1" x14ac:dyDescent="0.25">
      <c r="A7" t="s">
        <v>47</v>
      </c>
      <c r="B7" s="9">
        <v>319</v>
      </c>
      <c r="C7" s="9">
        <v>328</v>
      </c>
      <c r="D7" s="9">
        <v>401</v>
      </c>
      <c r="E7" s="9">
        <v>376</v>
      </c>
      <c r="F7" s="10">
        <v>125</v>
      </c>
      <c r="G7" s="10">
        <v>146</v>
      </c>
      <c r="H7" s="10">
        <v>137</v>
      </c>
      <c r="I7" s="10">
        <v>110</v>
      </c>
      <c r="J7" s="9">
        <v>518</v>
      </c>
      <c r="K7" s="11">
        <v>97</v>
      </c>
      <c r="L7" s="11">
        <v>104</v>
      </c>
      <c r="M7" s="11">
        <v>88</v>
      </c>
      <c r="N7" s="11"/>
      <c r="O7" s="9">
        <v>289</v>
      </c>
      <c r="P7" s="15">
        <v>-0.35766423357664234</v>
      </c>
      <c r="Q7" s="12">
        <v>-0.29166666666666663</v>
      </c>
      <c r="R7" s="13">
        <v>8.2808022922636101E-2</v>
      </c>
    </row>
    <row r="8" spans="1:23" ht="15" customHeight="1" x14ac:dyDescent="0.25">
      <c r="A8" t="s">
        <v>48</v>
      </c>
      <c r="B8" s="9">
        <v>169</v>
      </c>
      <c r="C8" s="9">
        <v>95</v>
      </c>
      <c r="D8" s="9">
        <v>512</v>
      </c>
      <c r="E8" s="9">
        <v>1293</v>
      </c>
      <c r="F8" s="10">
        <v>960</v>
      </c>
      <c r="G8" s="10">
        <v>970</v>
      </c>
      <c r="H8" s="10">
        <v>665</v>
      </c>
      <c r="I8" s="10">
        <v>586</v>
      </c>
      <c r="J8" s="9">
        <v>3181</v>
      </c>
      <c r="K8" s="11">
        <v>555</v>
      </c>
      <c r="L8" s="11">
        <v>483</v>
      </c>
      <c r="M8" s="11">
        <v>475</v>
      </c>
      <c r="N8" s="11"/>
      <c r="O8" s="9">
        <v>1513</v>
      </c>
      <c r="P8" s="15">
        <v>-0.2857142857142857</v>
      </c>
      <c r="Q8" s="12">
        <v>-0.41695568400770711</v>
      </c>
      <c r="R8" s="13">
        <v>0.43352435530085959</v>
      </c>
    </row>
    <row r="9" spans="1:23" ht="15" customHeight="1" x14ac:dyDescent="0.25">
      <c r="A9" t="s">
        <v>49</v>
      </c>
      <c r="B9" s="9">
        <v>559</v>
      </c>
      <c r="C9" s="9">
        <v>638</v>
      </c>
      <c r="D9" s="9">
        <v>610</v>
      </c>
      <c r="E9" s="9">
        <v>704</v>
      </c>
      <c r="F9" s="10">
        <v>207</v>
      </c>
      <c r="G9" s="10">
        <v>180</v>
      </c>
      <c r="H9" s="10">
        <v>162</v>
      </c>
      <c r="I9" s="10">
        <v>163</v>
      </c>
      <c r="J9" s="9">
        <v>712</v>
      </c>
      <c r="K9" s="11">
        <v>153</v>
      </c>
      <c r="L9" s="11">
        <v>151</v>
      </c>
      <c r="M9" s="11">
        <v>142</v>
      </c>
      <c r="N9" s="11"/>
      <c r="O9" s="9">
        <v>446</v>
      </c>
      <c r="P9" s="15">
        <v>-0.12345679012345678</v>
      </c>
      <c r="Q9" s="12">
        <v>-0.18761384335154829</v>
      </c>
      <c r="R9" s="13">
        <v>0.12779369627507164</v>
      </c>
    </row>
    <row r="10" spans="1:23" ht="15" customHeight="1" x14ac:dyDescent="0.25">
      <c r="A10" t="s">
        <v>23</v>
      </c>
      <c r="B10" s="9">
        <v>28</v>
      </c>
      <c r="C10" s="9">
        <v>31</v>
      </c>
      <c r="D10" s="9">
        <v>15</v>
      </c>
      <c r="E10" s="9">
        <v>44</v>
      </c>
      <c r="F10" s="10">
        <v>8</v>
      </c>
      <c r="G10" s="10">
        <v>6</v>
      </c>
      <c r="H10" s="10">
        <v>6</v>
      </c>
      <c r="I10" s="10">
        <v>18</v>
      </c>
      <c r="J10" s="9">
        <v>38</v>
      </c>
      <c r="K10" s="11">
        <v>5</v>
      </c>
      <c r="L10" s="11">
        <v>4</v>
      </c>
      <c r="M10" s="11">
        <v>5</v>
      </c>
      <c r="N10" s="11"/>
      <c r="O10" s="9">
        <v>14</v>
      </c>
      <c r="P10" s="15">
        <v>-0.16666666666666663</v>
      </c>
      <c r="Q10" s="12">
        <v>-0.30000000000000004</v>
      </c>
      <c r="R10" s="13">
        <v>4.0114613180515755E-3</v>
      </c>
    </row>
    <row r="11" spans="1:23" ht="15" customHeight="1" x14ac:dyDescent="0.25">
      <c r="A11" t="s">
        <v>50</v>
      </c>
      <c r="B11" s="9">
        <v>43</v>
      </c>
      <c r="C11" s="9">
        <v>12</v>
      </c>
      <c r="D11" s="9">
        <v>86</v>
      </c>
      <c r="E11" s="9">
        <v>70</v>
      </c>
      <c r="F11" s="10">
        <v>28</v>
      </c>
      <c r="G11" s="10">
        <v>5</v>
      </c>
      <c r="H11" s="10">
        <v>4</v>
      </c>
      <c r="I11" s="10">
        <v>47</v>
      </c>
      <c r="J11" s="9">
        <v>84</v>
      </c>
      <c r="K11" s="11">
        <v>3</v>
      </c>
      <c r="L11" s="11">
        <v>4</v>
      </c>
      <c r="M11" s="11"/>
      <c r="N11" s="11"/>
      <c r="O11" s="9">
        <v>7</v>
      </c>
      <c r="P11" s="15">
        <v>-1</v>
      </c>
      <c r="Q11" s="12">
        <v>-0.81081081081081074</v>
      </c>
      <c r="R11" s="13">
        <v>2.0057306590257878E-3</v>
      </c>
    </row>
    <row r="12" spans="1:23" ht="15" customHeight="1" x14ac:dyDescent="0.25">
      <c r="A12" t="s">
        <v>24</v>
      </c>
      <c r="B12" s="9">
        <v>110</v>
      </c>
      <c r="C12" s="9">
        <v>103</v>
      </c>
      <c r="D12" s="9">
        <v>80</v>
      </c>
      <c r="E12" s="9">
        <v>59</v>
      </c>
      <c r="F12" s="10">
        <v>13</v>
      </c>
      <c r="G12" s="10">
        <v>26</v>
      </c>
      <c r="H12" s="10">
        <v>25</v>
      </c>
      <c r="I12" s="10">
        <v>25</v>
      </c>
      <c r="J12" s="9">
        <v>89</v>
      </c>
      <c r="K12" s="11">
        <v>18</v>
      </c>
      <c r="L12" s="11">
        <v>17</v>
      </c>
      <c r="M12" s="11">
        <v>9</v>
      </c>
      <c r="N12" s="11"/>
      <c r="O12" s="9">
        <v>44</v>
      </c>
      <c r="P12" s="15">
        <v>-0.64</v>
      </c>
      <c r="Q12" s="12">
        <v>-0.3125</v>
      </c>
      <c r="R12" s="13">
        <v>1.2607449856733524E-2</v>
      </c>
    </row>
    <row r="13" spans="1:23" ht="15" customHeight="1" x14ac:dyDescent="0.25">
      <c r="A13" t="s">
        <v>51</v>
      </c>
      <c r="B13" s="9">
        <v>241</v>
      </c>
      <c r="C13" s="9">
        <v>386</v>
      </c>
      <c r="D13" s="9">
        <v>1182</v>
      </c>
      <c r="E13" s="9">
        <v>969</v>
      </c>
      <c r="F13" s="10">
        <v>93</v>
      </c>
      <c r="G13" s="10">
        <v>58</v>
      </c>
      <c r="H13" s="10">
        <v>5</v>
      </c>
      <c r="I13" s="10">
        <v>8</v>
      </c>
      <c r="J13" s="9">
        <v>164</v>
      </c>
      <c r="K13" s="11">
        <v>7</v>
      </c>
      <c r="L13" s="11">
        <v>2</v>
      </c>
      <c r="M13" s="11">
        <v>15</v>
      </c>
      <c r="N13" s="11"/>
      <c r="O13" s="9">
        <v>24</v>
      </c>
      <c r="P13" s="15">
        <v>2</v>
      </c>
      <c r="Q13" s="12">
        <v>-0.84615384615384615</v>
      </c>
      <c r="R13" s="13">
        <v>6.8767908309455587E-3</v>
      </c>
    </row>
    <row r="14" spans="1:23" ht="15" customHeight="1" x14ac:dyDescent="0.25">
      <c r="A14" t="s">
        <v>28</v>
      </c>
      <c r="B14" s="9">
        <v>111</v>
      </c>
      <c r="C14" s="9">
        <v>235</v>
      </c>
      <c r="D14" s="9">
        <v>208</v>
      </c>
      <c r="E14" s="9">
        <v>51</v>
      </c>
      <c r="F14" s="10"/>
      <c r="G14" s="10"/>
      <c r="H14" s="10">
        <v>4</v>
      </c>
      <c r="I14" s="10">
        <v>19</v>
      </c>
      <c r="J14" s="9">
        <v>23</v>
      </c>
      <c r="K14" s="11"/>
      <c r="L14" s="11">
        <v>8</v>
      </c>
      <c r="M14" s="11">
        <v>4</v>
      </c>
      <c r="N14" s="11"/>
      <c r="O14" s="9">
        <v>12</v>
      </c>
      <c r="P14" s="15">
        <v>0</v>
      </c>
      <c r="Q14" s="12">
        <v>2</v>
      </c>
      <c r="R14" s="13">
        <v>3.4383954154727794E-3</v>
      </c>
    </row>
    <row r="15" spans="1:23" ht="15" customHeight="1" x14ac:dyDescent="0.25">
      <c r="A15" t="s">
        <v>52</v>
      </c>
      <c r="B15" s="9">
        <v>73</v>
      </c>
      <c r="C15" s="9">
        <v>72</v>
      </c>
      <c r="D15" s="9">
        <v>111</v>
      </c>
      <c r="E15" s="9">
        <v>117</v>
      </c>
      <c r="F15" s="10">
        <v>6</v>
      </c>
      <c r="G15" s="10">
        <v>10</v>
      </c>
      <c r="H15" s="10">
        <v>14</v>
      </c>
      <c r="I15" s="10">
        <v>15</v>
      </c>
      <c r="J15" s="9">
        <v>45</v>
      </c>
      <c r="K15" s="11">
        <v>6</v>
      </c>
      <c r="L15" s="11">
        <v>17</v>
      </c>
      <c r="M15" s="11">
        <v>7</v>
      </c>
      <c r="N15" s="11"/>
      <c r="O15" s="9">
        <v>30</v>
      </c>
      <c r="P15" s="15">
        <v>-0.5</v>
      </c>
      <c r="Q15" s="12">
        <v>0</v>
      </c>
      <c r="R15" s="13">
        <v>8.5959885386819486E-3</v>
      </c>
    </row>
    <row r="16" spans="1:23" ht="15" customHeight="1" x14ac:dyDescent="0.25">
      <c r="A16" t="s">
        <v>53</v>
      </c>
      <c r="B16" s="9">
        <v>589</v>
      </c>
      <c r="C16" s="9">
        <v>509</v>
      </c>
      <c r="D16" s="9">
        <v>593</v>
      </c>
      <c r="E16" s="9">
        <v>583</v>
      </c>
      <c r="F16" s="10">
        <v>150</v>
      </c>
      <c r="G16" s="10">
        <v>106</v>
      </c>
      <c r="H16" s="10">
        <v>82</v>
      </c>
      <c r="I16" s="10">
        <v>164</v>
      </c>
      <c r="J16" s="9">
        <v>502</v>
      </c>
      <c r="K16" s="11">
        <v>138</v>
      </c>
      <c r="L16" s="11">
        <v>85</v>
      </c>
      <c r="M16" s="11">
        <v>71</v>
      </c>
      <c r="N16" s="11"/>
      <c r="O16" s="9">
        <v>294</v>
      </c>
      <c r="P16" s="15">
        <v>-0.13414634146341464</v>
      </c>
      <c r="Q16" s="12">
        <v>-0.13017751479289941</v>
      </c>
      <c r="R16" s="13">
        <v>8.424068767908309E-2</v>
      </c>
    </row>
    <row r="17" spans="1:18" ht="15" customHeight="1" x14ac:dyDescent="0.25">
      <c r="A17" t="s">
        <v>30</v>
      </c>
      <c r="B17" s="9">
        <v>32</v>
      </c>
      <c r="C17" s="9">
        <v>23</v>
      </c>
      <c r="D17" s="9">
        <v>38</v>
      </c>
      <c r="E17" s="9">
        <v>24</v>
      </c>
      <c r="F17" s="10">
        <v>2</v>
      </c>
      <c r="G17" s="10">
        <v>14</v>
      </c>
      <c r="H17" s="10">
        <v>8</v>
      </c>
      <c r="I17" s="10">
        <v>14</v>
      </c>
      <c r="J17" s="9">
        <v>38</v>
      </c>
      <c r="K17" s="11">
        <v>10</v>
      </c>
      <c r="L17" s="11">
        <v>14</v>
      </c>
      <c r="M17" s="11">
        <v>16</v>
      </c>
      <c r="N17" s="11"/>
      <c r="O17" s="9">
        <v>40</v>
      </c>
      <c r="P17" s="15">
        <v>1</v>
      </c>
      <c r="Q17" s="12">
        <v>0.66666666666666674</v>
      </c>
      <c r="R17" s="13">
        <v>1.1461318051575931E-2</v>
      </c>
    </row>
    <row r="18" spans="1:18" ht="15" customHeight="1" x14ac:dyDescent="0.25">
      <c r="A18" t="s">
        <v>31</v>
      </c>
      <c r="B18" s="9">
        <v>17</v>
      </c>
      <c r="C18" s="9">
        <v>42</v>
      </c>
      <c r="D18" s="9">
        <v>90</v>
      </c>
      <c r="E18" s="9">
        <v>71</v>
      </c>
      <c r="F18" s="10">
        <v>10</v>
      </c>
      <c r="G18" s="10">
        <v>8</v>
      </c>
      <c r="H18" s="10">
        <v>7</v>
      </c>
      <c r="I18" s="10">
        <v>7</v>
      </c>
      <c r="J18" s="9">
        <v>32</v>
      </c>
      <c r="K18" s="11">
        <v>7</v>
      </c>
      <c r="L18" s="11">
        <v>4</v>
      </c>
      <c r="M18" s="11">
        <v>10</v>
      </c>
      <c r="N18" s="11"/>
      <c r="O18" s="9">
        <v>21</v>
      </c>
      <c r="P18" s="15">
        <v>0.4285714285714286</v>
      </c>
      <c r="Q18" s="12">
        <v>-0.16000000000000003</v>
      </c>
      <c r="R18" s="13">
        <v>6.0171919770773642E-3</v>
      </c>
    </row>
    <row r="19" spans="1:18" ht="15" customHeight="1" x14ac:dyDescent="0.25">
      <c r="A19" t="s">
        <v>54</v>
      </c>
      <c r="B19" s="9">
        <v>5830</v>
      </c>
      <c r="C19" s="9">
        <v>6103</v>
      </c>
      <c r="D19" s="9">
        <v>5472</v>
      </c>
      <c r="E19" s="9">
        <v>3901</v>
      </c>
      <c r="F19" s="10">
        <v>2</v>
      </c>
      <c r="G19" s="10">
        <v>10</v>
      </c>
      <c r="H19" s="10">
        <v>1</v>
      </c>
      <c r="I19" s="10">
        <v>24</v>
      </c>
      <c r="J19" s="9">
        <v>37</v>
      </c>
      <c r="K19" s="11">
        <v>1</v>
      </c>
      <c r="L19" s="11">
        <v>4</v>
      </c>
      <c r="M19" s="11">
        <v>1</v>
      </c>
      <c r="N19" s="11"/>
      <c r="O19" s="9">
        <v>6</v>
      </c>
      <c r="P19" s="15">
        <v>0</v>
      </c>
      <c r="Q19" s="12">
        <v>-0.53846153846153844</v>
      </c>
      <c r="R19" s="13">
        <v>1.7191977077363897E-3</v>
      </c>
    </row>
    <row r="20" spans="1:18" ht="15" customHeight="1" x14ac:dyDescent="0.25">
      <c r="A20" t="s">
        <v>55</v>
      </c>
      <c r="B20" s="9">
        <v>48</v>
      </c>
      <c r="C20" s="9">
        <v>46</v>
      </c>
      <c r="D20" s="9">
        <v>31</v>
      </c>
      <c r="E20" s="9">
        <v>34</v>
      </c>
      <c r="F20" s="10">
        <v>1</v>
      </c>
      <c r="G20" s="10">
        <v>4</v>
      </c>
      <c r="H20" s="10">
        <v>7</v>
      </c>
      <c r="I20" s="10">
        <v>2</v>
      </c>
      <c r="J20" s="9">
        <v>14</v>
      </c>
      <c r="K20" s="11">
        <v>9</v>
      </c>
      <c r="L20" s="11">
        <v>13</v>
      </c>
      <c r="M20" s="11">
        <v>11</v>
      </c>
      <c r="N20" s="11"/>
      <c r="O20" s="9">
        <v>33</v>
      </c>
      <c r="P20" s="15">
        <v>0.5714285714285714</v>
      </c>
      <c r="Q20" s="12">
        <v>1.75</v>
      </c>
      <c r="R20" s="13">
        <v>9.4555873925501431E-3</v>
      </c>
    </row>
    <row r="21" spans="1:18" ht="15" customHeight="1" x14ac:dyDescent="0.25">
      <c r="A21" t="s">
        <v>33</v>
      </c>
      <c r="B21" s="9">
        <v>1877</v>
      </c>
      <c r="C21" s="9">
        <v>1312</v>
      </c>
      <c r="D21" s="9">
        <v>101</v>
      </c>
      <c r="E21" s="9">
        <v>302</v>
      </c>
      <c r="F21" s="10">
        <v>193</v>
      </c>
      <c r="G21" s="10">
        <v>201</v>
      </c>
      <c r="H21" s="10">
        <v>190</v>
      </c>
      <c r="I21" s="10">
        <v>162</v>
      </c>
      <c r="J21" s="9">
        <v>746</v>
      </c>
      <c r="K21" s="11">
        <v>121</v>
      </c>
      <c r="L21" s="11">
        <v>123</v>
      </c>
      <c r="M21" s="11">
        <v>90</v>
      </c>
      <c r="N21" s="11"/>
      <c r="O21" s="9">
        <v>334</v>
      </c>
      <c r="P21" s="15">
        <v>-0.52631578947368429</v>
      </c>
      <c r="Q21" s="12">
        <v>-0.42808219178082196</v>
      </c>
      <c r="R21" s="13">
        <v>9.5702005730659026E-2</v>
      </c>
    </row>
    <row r="22" spans="1:18" ht="15" customHeight="1" x14ac:dyDescent="0.25">
      <c r="A22" t="s">
        <v>56</v>
      </c>
      <c r="B22" s="9">
        <v>92</v>
      </c>
      <c r="C22" s="9">
        <v>102</v>
      </c>
      <c r="D22" s="9">
        <v>69</v>
      </c>
      <c r="E22" s="9">
        <v>97</v>
      </c>
      <c r="F22" s="10">
        <v>16</v>
      </c>
      <c r="G22" s="10">
        <v>6</v>
      </c>
      <c r="H22" s="10">
        <v>8</v>
      </c>
      <c r="I22" s="10">
        <v>68</v>
      </c>
      <c r="J22" s="9">
        <v>98</v>
      </c>
      <c r="K22" s="11">
        <v>9</v>
      </c>
      <c r="L22" s="11">
        <v>3</v>
      </c>
      <c r="M22" s="11">
        <v>9</v>
      </c>
      <c r="N22" s="11"/>
      <c r="O22" s="9">
        <v>21</v>
      </c>
      <c r="P22" s="15">
        <v>0.125</v>
      </c>
      <c r="Q22" s="12">
        <v>-0.30000000000000004</v>
      </c>
      <c r="R22" s="13">
        <v>6.0171919770773642E-3</v>
      </c>
    </row>
    <row r="23" spans="1:18" ht="15" customHeight="1" x14ac:dyDescent="0.25">
      <c r="A23" t="s">
        <v>34</v>
      </c>
      <c r="B23" s="9">
        <v>951</v>
      </c>
      <c r="C23" s="9">
        <v>1010</v>
      </c>
      <c r="D23" s="9">
        <v>971</v>
      </c>
      <c r="E23" s="9">
        <v>760</v>
      </c>
      <c r="F23" s="10">
        <v>169</v>
      </c>
      <c r="G23" s="10">
        <v>111</v>
      </c>
      <c r="H23" s="10">
        <v>107</v>
      </c>
      <c r="I23" s="10">
        <v>147</v>
      </c>
      <c r="J23" s="9">
        <v>534</v>
      </c>
      <c r="K23" s="11">
        <v>47</v>
      </c>
      <c r="L23" s="11">
        <v>28</v>
      </c>
      <c r="M23" s="11">
        <v>49</v>
      </c>
      <c r="N23" s="11"/>
      <c r="O23" s="9">
        <v>124</v>
      </c>
      <c r="P23" s="15">
        <v>-0.5420560747663552</v>
      </c>
      <c r="Q23" s="12">
        <v>-0.67958656330749356</v>
      </c>
      <c r="R23" s="13">
        <v>3.5530085959885389E-2</v>
      </c>
    </row>
    <row r="24" spans="1:18" ht="15" customHeight="1" x14ac:dyDescent="0.25">
      <c r="A24" t="s">
        <v>35</v>
      </c>
      <c r="B24" s="9">
        <f>SUBTOTAL(109,Tabell_Kalv[2021])</f>
        <v>11499</v>
      </c>
      <c r="C24" s="9">
        <f>SUBTOTAL(109,Tabell_Kalv[2022])</f>
        <v>11474</v>
      </c>
      <c r="D24" s="9">
        <f>SUBTOTAL(109,Tabell_Kalv[2023])</f>
        <v>10977</v>
      </c>
      <c r="E24" s="9">
        <f>SUBTOTAL(109,Tabell_Kalv[2024])</f>
        <v>9956</v>
      </c>
      <c r="F24" s="9">
        <f>SUBTOTAL(109,Tabell_Kalv[Kvartal 1 2025])</f>
        <v>2091</v>
      </c>
      <c r="G24" s="9">
        <f>SUBTOTAL(109,Tabell_Kalv[Kvartal 2 2025])</f>
        <v>1963</v>
      </c>
      <c r="H24" s="9">
        <f>SUBTOTAL(109,Tabell_Kalv[Kvartal 3 2025])</f>
        <v>1514</v>
      </c>
      <c r="I24" s="9">
        <f>SUBTOTAL(109,Tabell_Kalv[Kvartal 4 2025])</f>
        <v>1695</v>
      </c>
      <c r="J24" s="9">
        <f>SUBTOTAL(109,Tabell_Kalv[2025])</f>
        <v>7263</v>
      </c>
      <c r="K24" s="9">
        <f>SUBTOTAL(109,Tabell_Kalv[Kvartal 1 2026])</f>
        <v>1275</v>
      </c>
      <c r="L24" s="9">
        <f>SUBTOTAL(109,Tabell_Kalv[Kvartal 2 2026])</f>
        <v>1148</v>
      </c>
      <c r="M24" s="9">
        <f>SUBTOTAL(109,Tabell_Kalv[Kvartal 3 2026])</f>
        <v>1067</v>
      </c>
      <c r="N24" s="9">
        <f>SUBTOTAL(109,Tabell_Kalv[Kvartal 4 2026])</f>
        <v>0</v>
      </c>
      <c r="O24" s="9">
        <f>SUBTOTAL(109,Tabell_Kalv[2026])</f>
        <v>3490</v>
      </c>
      <c r="P24" s="15">
        <f>M24/H24-1</f>
        <v>-0.29524438573315714</v>
      </c>
      <c r="Q24" s="15">
        <f>O24/SUM(F24:H24)-1</f>
        <v>-0.37320402298850575</v>
      </c>
      <c r="R24" s="13">
        <f>SUBTOTAL(109,Tabell_Kalv[Procentuell andel 2026*])</f>
        <v>1</v>
      </c>
    </row>
    <row r="25" spans="1:18" ht="15" customHeight="1" x14ac:dyDescent="0.25">
      <c r="A25" t="s">
        <v>57</v>
      </c>
    </row>
    <row r="26" spans="1:18" ht="15" customHeight="1" x14ac:dyDescent="0.25">
      <c r="A26" t="s">
        <v>37</v>
      </c>
    </row>
    <row r="27" spans="1:18" ht="15" customHeight="1" x14ac:dyDescent="0.25">
      <c r="A27" t="s">
        <v>58</v>
      </c>
    </row>
    <row r="28" spans="1:18" ht="15" customHeight="1" x14ac:dyDescent="0.25">
      <c r="A28" t="s">
        <v>39</v>
      </c>
    </row>
    <row r="29" spans="1:18" ht="15" customHeight="1" x14ac:dyDescent="0.25"/>
    <row r="30" spans="1:18" ht="15" customHeight="1" x14ac:dyDescent="0.25"/>
    <row r="31" spans="1:18" ht="15" customHeight="1" x14ac:dyDescent="0.25"/>
    <row r="32" spans="1:18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</sheetData>
  <pageMargins left="0.70866141732283472" right="0.31496062992125984" top="0.55118110236220474" bottom="0.74803149606299213" header="0.31496062992125984" footer="0.31496062992125984"/>
  <pageSetup paperSize="9" scale="78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34E6D-FF2C-4C20-A44C-6EE2EE4BF7CC}">
  <sheetPr codeName="flStorb">
    <pageSetUpPr fitToPage="1"/>
  </sheetPr>
  <dimension ref="A1:R79"/>
  <sheetViews>
    <sheetView workbookViewId="0">
      <selection activeCell="A2" sqref="A2"/>
    </sheetView>
  </sheetViews>
  <sheetFormatPr defaultColWidth="9.140625" defaultRowHeight="15" x14ac:dyDescent="0.25"/>
  <cols>
    <col min="1" max="1" width="27" customWidth="1"/>
    <col min="2" max="15" width="8.28515625" customWidth="1"/>
    <col min="16" max="16" width="9.28515625" customWidth="1"/>
    <col min="17" max="17" width="10.140625" customWidth="1"/>
    <col min="18" max="18" width="10" customWidth="1"/>
  </cols>
  <sheetData>
    <row r="1" spans="1:18" ht="92.25" customHeight="1" x14ac:dyDescent="0.25">
      <c r="A1" s="1" t="s">
        <v>59</v>
      </c>
      <c r="C1" s="1"/>
      <c r="J1" s="1"/>
      <c r="R1" s="2"/>
    </row>
    <row r="2" spans="1:18" ht="4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4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4" t="s">
        <v>15</v>
      </c>
      <c r="P2" s="6" t="s">
        <v>16</v>
      </c>
      <c r="Q2" s="6" t="s">
        <v>17</v>
      </c>
      <c r="R2" s="7" t="s">
        <v>18</v>
      </c>
    </row>
    <row r="3" spans="1:18" ht="15" customHeight="1" x14ac:dyDescent="0.25">
      <c r="A3" t="s">
        <v>60</v>
      </c>
      <c r="B3" s="9">
        <v>1385</v>
      </c>
      <c r="C3" s="9">
        <v>1479</v>
      </c>
      <c r="D3" s="9">
        <v>1761</v>
      </c>
      <c r="E3" s="9">
        <v>1618</v>
      </c>
      <c r="F3" s="10">
        <v>392</v>
      </c>
      <c r="G3" s="10">
        <v>346</v>
      </c>
      <c r="H3" s="10">
        <v>405</v>
      </c>
      <c r="I3" s="10">
        <v>521</v>
      </c>
      <c r="J3" s="9">
        <v>1664</v>
      </c>
      <c r="K3" s="11">
        <v>399</v>
      </c>
      <c r="L3" s="11">
        <v>255</v>
      </c>
      <c r="M3" s="11"/>
      <c r="N3" s="11"/>
      <c r="O3" s="9">
        <v>654</v>
      </c>
      <c r="P3" s="12">
        <v>-1</v>
      </c>
      <c r="Q3" s="12">
        <v>-0.42782152230971127</v>
      </c>
      <c r="R3" s="13">
        <v>2.4023185680124301E-3</v>
      </c>
    </row>
    <row r="4" spans="1:18" ht="15" customHeight="1" x14ac:dyDescent="0.25">
      <c r="A4" t="s">
        <v>43</v>
      </c>
      <c r="B4" s="9">
        <v>1922</v>
      </c>
      <c r="C4" s="9">
        <v>2108</v>
      </c>
      <c r="D4" s="9">
        <v>2098</v>
      </c>
      <c r="E4" s="9">
        <v>1984</v>
      </c>
      <c r="F4" s="10">
        <v>471</v>
      </c>
      <c r="G4" s="10">
        <v>513</v>
      </c>
      <c r="H4" s="10">
        <v>509</v>
      </c>
      <c r="I4" s="10">
        <v>485</v>
      </c>
      <c r="J4" s="9">
        <v>1978</v>
      </c>
      <c r="K4" s="11">
        <v>424</v>
      </c>
      <c r="L4" s="11">
        <v>418</v>
      </c>
      <c r="M4" s="11">
        <v>431</v>
      </c>
      <c r="N4" s="11"/>
      <c r="O4" s="9">
        <v>1273</v>
      </c>
      <c r="P4" s="12">
        <v>-0.1532416502946955</v>
      </c>
      <c r="Q4" s="12">
        <v>-0.14735432016075012</v>
      </c>
      <c r="R4" s="13">
        <v>4.6760726866663972E-3</v>
      </c>
    </row>
    <row r="5" spans="1:18" ht="15" customHeight="1" x14ac:dyDescent="0.25">
      <c r="A5" t="s">
        <v>21</v>
      </c>
      <c r="B5" s="9">
        <v>16340</v>
      </c>
      <c r="C5" s="9">
        <v>16534</v>
      </c>
      <c r="D5" s="9">
        <v>19177</v>
      </c>
      <c r="E5" s="9">
        <v>19258</v>
      </c>
      <c r="F5" s="10">
        <v>4237</v>
      </c>
      <c r="G5" s="10">
        <v>4384</v>
      </c>
      <c r="H5" s="10">
        <v>4413</v>
      </c>
      <c r="I5" s="10">
        <v>5078</v>
      </c>
      <c r="J5" s="9">
        <v>18112</v>
      </c>
      <c r="K5" s="11">
        <v>3447</v>
      </c>
      <c r="L5" s="11">
        <v>3988</v>
      </c>
      <c r="M5" s="11">
        <v>4985</v>
      </c>
      <c r="N5" s="11"/>
      <c r="O5" s="9">
        <v>12420</v>
      </c>
      <c r="P5" s="12">
        <v>0.12961704056197587</v>
      </c>
      <c r="Q5" s="12">
        <v>-4.7107564830443427E-2</v>
      </c>
      <c r="R5" s="13">
        <v>4.5622013172346154E-2</v>
      </c>
    </row>
    <row r="6" spans="1:18" ht="15" customHeight="1" x14ac:dyDescent="0.25">
      <c r="A6" t="s">
        <v>47</v>
      </c>
      <c r="B6" s="9">
        <v>10001</v>
      </c>
      <c r="C6" s="9">
        <v>9636</v>
      </c>
      <c r="D6" s="9">
        <v>12881</v>
      </c>
      <c r="E6" s="9">
        <v>12346</v>
      </c>
      <c r="F6" s="10">
        <v>3062</v>
      </c>
      <c r="G6" s="10">
        <v>2507</v>
      </c>
      <c r="H6" s="10">
        <v>2654</v>
      </c>
      <c r="I6" s="10">
        <v>3281</v>
      </c>
      <c r="J6" s="9">
        <v>11504</v>
      </c>
      <c r="K6" s="11">
        <v>2492</v>
      </c>
      <c r="L6" s="11">
        <v>2291</v>
      </c>
      <c r="M6" s="11">
        <v>2746</v>
      </c>
      <c r="N6" s="11"/>
      <c r="O6" s="9">
        <v>7529</v>
      </c>
      <c r="P6" s="12">
        <v>3.466465712132627E-2</v>
      </c>
      <c r="Q6" s="12">
        <v>-8.4397421865499256E-2</v>
      </c>
      <c r="R6" s="13">
        <v>2.7656049691996313E-2</v>
      </c>
    </row>
    <row r="7" spans="1:18" ht="15" customHeight="1" x14ac:dyDescent="0.25">
      <c r="A7" t="s">
        <v>48</v>
      </c>
      <c r="B7" s="9">
        <v>14349</v>
      </c>
      <c r="C7" s="9">
        <v>14578</v>
      </c>
      <c r="D7" s="9">
        <v>14573</v>
      </c>
      <c r="E7" s="9">
        <v>13385</v>
      </c>
      <c r="F7" s="10">
        <v>2405</v>
      </c>
      <c r="G7" s="10">
        <v>2155</v>
      </c>
      <c r="H7" s="10">
        <v>2975</v>
      </c>
      <c r="I7" s="10">
        <v>3577</v>
      </c>
      <c r="J7" s="9">
        <v>11112</v>
      </c>
      <c r="K7" s="11">
        <v>2927</v>
      </c>
      <c r="L7" s="11">
        <v>2434</v>
      </c>
      <c r="M7" s="11">
        <v>3349</v>
      </c>
      <c r="N7" s="11"/>
      <c r="O7" s="9">
        <v>8710</v>
      </c>
      <c r="P7" s="12">
        <v>0.12571428571428567</v>
      </c>
      <c r="Q7" s="12">
        <v>0.15593895155938942</v>
      </c>
      <c r="R7" s="13">
        <v>3.1994181540349033E-2</v>
      </c>
    </row>
    <row r="8" spans="1:18" ht="15" customHeight="1" x14ac:dyDescent="0.25">
      <c r="A8" t="s">
        <v>49</v>
      </c>
      <c r="B8" s="9">
        <v>3488</v>
      </c>
      <c r="C8" s="9">
        <v>3566</v>
      </c>
      <c r="D8" s="9">
        <v>3267</v>
      </c>
      <c r="E8" s="9">
        <v>3512</v>
      </c>
      <c r="F8" s="10">
        <v>731</v>
      </c>
      <c r="G8" s="10">
        <v>727</v>
      </c>
      <c r="H8" s="10">
        <v>664</v>
      </c>
      <c r="I8" s="10">
        <v>917</v>
      </c>
      <c r="J8" s="9">
        <v>3039</v>
      </c>
      <c r="K8" s="11">
        <v>645</v>
      </c>
      <c r="L8" s="11">
        <v>756</v>
      </c>
      <c r="M8" s="11">
        <v>721</v>
      </c>
      <c r="N8" s="11"/>
      <c r="O8" s="9">
        <v>2122</v>
      </c>
      <c r="P8" s="12">
        <v>8.5843373493975861E-2</v>
      </c>
      <c r="Q8" s="12">
        <v>0</v>
      </c>
      <c r="R8" s="13">
        <v>7.7946789011045523E-3</v>
      </c>
    </row>
    <row r="9" spans="1:18" ht="15" customHeight="1" x14ac:dyDescent="0.25">
      <c r="A9" t="s">
        <v>23</v>
      </c>
      <c r="B9" s="9">
        <v>5917</v>
      </c>
      <c r="C9" s="9">
        <v>7466</v>
      </c>
      <c r="D9" s="9">
        <v>10006</v>
      </c>
      <c r="E9" s="9">
        <v>11145</v>
      </c>
      <c r="F9" s="10">
        <v>2721</v>
      </c>
      <c r="G9" s="10">
        <v>2611</v>
      </c>
      <c r="H9" s="10">
        <v>2881</v>
      </c>
      <c r="I9" s="10">
        <v>2616</v>
      </c>
      <c r="J9" s="9">
        <v>10829</v>
      </c>
      <c r="K9" s="11">
        <v>2724</v>
      </c>
      <c r="L9" s="11">
        <v>2506</v>
      </c>
      <c r="M9" s="11">
        <v>2663</v>
      </c>
      <c r="N9" s="11"/>
      <c r="O9" s="9">
        <v>7893</v>
      </c>
      <c r="P9" s="12">
        <v>-7.5668170774036758E-2</v>
      </c>
      <c r="Q9" s="12">
        <v>-3.8962620236210888E-2</v>
      </c>
      <c r="R9" s="13">
        <v>2.8993119965324332E-2</v>
      </c>
    </row>
    <row r="10" spans="1:18" ht="15" customHeight="1" x14ac:dyDescent="0.25">
      <c r="A10" t="s">
        <v>50</v>
      </c>
      <c r="B10" s="9">
        <v>6125</v>
      </c>
      <c r="C10" s="9">
        <v>6078</v>
      </c>
      <c r="D10" s="9">
        <v>5993</v>
      </c>
      <c r="E10" s="9">
        <v>7763</v>
      </c>
      <c r="F10" s="10">
        <v>1598</v>
      </c>
      <c r="G10" s="10">
        <v>1447</v>
      </c>
      <c r="H10" s="10">
        <v>1641</v>
      </c>
      <c r="I10" s="10">
        <v>2288</v>
      </c>
      <c r="J10" s="9">
        <v>6974</v>
      </c>
      <c r="K10" s="11">
        <v>1398</v>
      </c>
      <c r="L10" s="11">
        <v>1500</v>
      </c>
      <c r="M10" s="11">
        <v>1592</v>
      </c>
      <c r="N10" s="11"/>
      <c r="O10" s="9">
        <v>4490</v>
      </c>
      <c r="P10" s="12">
        <v>-2.9859841560024414E-2</v>
      </c>
      <c r="Q10" s="12">
        <v>-4.1826717883055919E-2</v>
      </c>
      <c r="R10" s="13">
        <v>1.6492982217700018E-2</v>
      </c>
    </row>
    <row r="11" spans="1:18" ht="15" customHeight="1" x14ac:dyDescent="0.25">
      <c r="A11" t="s">
        <v>24</v>
      </c>
      <c r="B11" s="9">
        <v>34764</v>
      </c>
      <c r="C11" s="9">
        <v>34837</v>
      </c>
      <c r="D11" s="9">
        <v>35543</v>
      </c>
      <c r="E11" s="9">
        <v>34031</v>
      </c>
      <c r="F11" s="10">
        <v>7251</v>
      </c>
      <c r="G11" s="10">
        <v>6774</v>
      </c>
      <c r="H11" s="10">
        <v>7925</v>
      </c>
      <c r="I11" s="10">
        <v>7412</v>
      </c>
      <c r="J11" s="9">
        <v>29362</v>
      </c>
      <c r="K11" s="11">
        <v>7327</v>
      </c>
      <c r="L11" s="11">
        <v>7328</v>
      </c>
      <c r="M11" s="11">
        <v>8842</v>
      </c>
      <c r="N11" s="11"/>
      <c r="O11" s="9">
        <v>23497</v>
      </c>
      <c r="P11" s="12">
        <v>0.11570977917981073</v>
      </c>
      <c r="Q11" s="12">
        <v>7.0478359908883847E-2</v>
      </c>
      <c r="R11" s="13">
        <v>8.6310824759308985E-2</v>
      </c>
    </row>
    <row r="12" spans="1:18" ht="15" customHeight="1" x14ac:dyDescent="0.25">
      <c r="A12" t="s">
        <v>25</v>
      </c>
      <c r="B12" s="9">
        <v>51303</v>
      </c>
      <c r="C12" s="9">
        <v>51489</v>
      </c>
      <c r="D12" s="9">
        <v>54678</v>
      </c>
      <c r="E12" s="9">
        <v>56264</v>
      </c>
      <c r="F12" s="10">
        <v>11015</v>
      </c>
      <c r="G12" s="10">
        <v>10831</v>
      </c>
      <c r="H12" s="10">
        <v>13358</v>
      </c>
      <c r="I12" s="10">
        <v>14924</v>
      </c>
      <c r="J12" s="9">
        <v>50128</v>
      </c>
      <c r="K12" s="11">
        <v>12146</v>
      </c>
      <c r="L12" s="11">
        <v>13231</v>
      </c>
      <c r="M12" s="11">
        <v>15116</v>
      </c>
      <c r="N12" s="11"/>
      <c r="O12" s="9">
        <v>40493</v>
      </c>
      <c r="P12" s="12">
        <v>0.13160652792334182</v>
      </c>
      <c r="Q12" s="12">
        <v>0.15023860924894894</v>
      </c>
      <c r="R12" s="13">
        <v>0.1487417213677788</v>
      </c>
    </row>
    <row r="13" spans="1:18" ht="15" customHeight="1" x14ac:dyDescent="0.25">
      <c r="A13" t="s">
        <v>51</v>
      </c>
      <c r="B13" s="9">
        <v>43519</v>
      </c>
      <c r="C13" s="9">
        <v>45187</v>
      </c>
      <c r="D13" s="9">
        <v>49956</v>
      </c>
      <c r="E13" s="9">
        <v>51941</v>
      </c>
      <c r="F13" s="10">
        <v>11086</v>
      </c>
      <c r="G13" s="10">
        <v>10707</v>
      </c>
      <c r="H13" s="10">
        <v>11930</v>
      </c>
      <c r="I13" s="10">
        <v>11815</v>
      </c>
      <c r="J13" s="9">
        <v>45538</v>
      </c>
      <c r="K13" s="11">
        <v>11170</v>
      </c>
      <c r="L13" s="11">
        <v>11105</v>
      </c>
      <c r="M13" s="11">
        <v>11993</v>
      </c>
      <c r="N13" s="11"/>
      <c r="O13" s="9">
        <v>34268</v>
      </c>
      <c r="P13" s="12">
        <v>5.2808046940486797E-3</v>
      </c>
      <c r="Q13" s="12">
        <v>1.6161077009755997E-2</v>
      </c>
      <c r="R13" s="13">
        <v>0.12587561573188069</v>
      </c>
    </row>
    <row r="14" spans="1:18" ht="15" customHeight="1" x14ac:dyDescent="0.25">
      <c r="A14" t="s">
        <v>28</v>
      </c>
      <c r="B14" s="9">
        <v>5501</v>
      </c>
      <c r="C14" s="9">
        <v>5324</v>
      </c>
      <c r="D14" s="9">
        <v>5905</v>
      </c>
      <c r="E14" s="9">
        <v>5549</v>
      </c>
      <c r="F14" s="10">
        <v>684</v>
      </c>
      <c r="G14" s="10">
        <v>1099</v>
      </c>
      <c r="H14" s="10">
        <v>1399</v>
      </c>
      <c r="I14" s="10">
        <v>1300</v>
      </c>
      <c r="J14" s="9">
        <v>4482</v>
      </c>
      <c r="K14" s="11">
        <v>1140</v>
      </c>
      <c r="L14" s="11">
        <v>1119</v>
      </c>
      <c r="M14" s="11">
        <v>1145</v>
      </c>
      <c r="N14" s="11"/>
      <c r="O14" s="9">
        <v>3404</v>
      </c>
      <c r="P14" s="12">
        <v>-0.18155825589706931</v>
      </c>
      <c r="Q14" s="12">
        <v>6.9767441860465018E-2</v>
      </c>
      <c r="R14" s="13">
        <v>1.2503811017605983E-2</v>
      </c>
    </row>
    <row r="15" spans="1:18" ht="15" customHeight="1" x14ac:dyDescent="0.25">
      <c r="A15" t="s">
        <v>61</v>
      </c>
      <c r="B15" s="9">
        <v>2735</v>
      </c>
      <c r="C15" s="9">
        <v>2690</v>
      </c>
      <c r="D15" s="9">
        <v>2660</v>
      </c>
      <c r="E15" s="9">
        <v>2823</v>
      </c>
      <c r="F15" s="10">
        <v>824</v>
      </c>
      <c r="G15" s="10">
        <v>779</v>
      </c>
      <c r="H15" s="10">
        <v>1050</v>
      </c>
      <c r="I15" s="10">
        <v>1207</v>
      </c>
      <c r="J15" s="9">
        <v>3860</v>
      </c>
      <c r="K15" s="11">
        <v>1239</v>
      </c>
      <c r="L15" s="11">
        <v>1328</v>
      </c>
      <c r="M15" s="11">
        <v>1516</v>
      </c>
      <c r="N15" s="11"/>
      <c r="O15" s="9">
        <v>4083</v>
      </c>
      <c r="P15" s="12">
        <v>0.44380952380952388</v>
      </c>
      <c r="Q15" s="12">
        <v>0.5390124387485864</v>
      </c>
      <c r="R15" s="13">
        <v>1.4997961335160173E-2</v>
      </c>
    </row>
    <row r="16" spans="1:18" ht="15" customHeight="1" x14ac:dyDescent="0.25">
      <c r="A16" t="s">
        <v>52</v>
      </c>
      <c r="B16" s="9">
        <v>7598</v>
      </c>
      <c r="C16" s="9">
        <v>7371</v>
      </c>
      <c r="D16" s="9">
        <v>6808</v>
      </c>
      <c r="E16" s="9">
        <v>6880</v>
      </c>
      <c r="F16" s="10">
        <v>1493</v>
      </c>
      <c r="G16" s="10">
        <v>1334</v>
      </c>
      <c r="H16" s="10">
        <v>1564</v>
      </c>
      <c r="I16" s="10">
        <v>1400</v>
      </c>
      <c r="J16" s="9">
        <v>5791</v>
      </c>
      <c r="K16" s="11">
        <v>1232</v>
      </c>
      <c r="L16" s="11">
        <v>1116</v>
      </c>
      <c r="M16" s="11">
        <v>1213</v>
      </c>
      <c r="N16" s="11"/>
      <c r="O16" s="9">
        <v>3561</v>
      </c>
      <c r="P16" s="12">
        <v>-0.22442455242966752</v>
      </c>
      <c r="Q16" s="12">
        <v>-0.18902300159416985</v>
      </c>
      <c r="R16" s="13">
        <v>1.3080514404728233E-2</v>
      </c>
    </row>
    <row r="17" spans="1:18" ht="15" customHeight="1" x14ac:dyDescent="0.25">
      <c r="A17" t="s">
        <v>62</v>
      </c>
      <c r="B17" s="9">
        <v>6761</v>
      </c>
      <c r="C17" s="9">
        <v>6898</v>
      </c>
      <c r="D17" s="9">
        <v>6931</v>
      </c>
      <c r="E17" s="9">
        <v>6675</v>
      </c>
      <c r="F17" s="10">
        <v>1370</v>
      </c>
      <c r="G17" s="10">
        <v>1426</v>
      </c>
      <c r="H17" s="10">
        <v>1635</v>
      </c>
      <c r="I17" s="10">
        <v>1828</v>
      </c>
      <c r="J17" s="9">
        <v>6259</v>
      </c>
      <c r="K17" s="11">
        <v>1267</v>
      </c>
      <c r="L17" s="11">
        <v>1182</v>
      </c>
      <c r="M17" s="11">
        <v>1169</v>
      </c>
      <c r="N17" s="11"/>
      <c r="O17" s="9">
        <v>3618</v>
      </c>
      <c r="P17" s="12">
        <v>-0.28501529051987773</v>
      </c>
      <c r="Q17" s="12">
        <v>-0.18348002708192279</v>
      </c>
      <c r="R17" s="13">
        <v>1.3289890793683446E-2</v>
      </c>
    </row>
    <row r="18" spans="1:18" ht="15" customHeight="1" x14ac:dyDescent="0.25">
      <c r="A18" t="s">
        <v>53</v>
      </c>
      <c r="B18" s="9">
        <v>10507</v>
      </c>
      <c r="C18" s="9">
        <v>11319</v>
      </c>
      <c r="D18" s="9">
        <v>10920</v>
      </c>
      <c r="E18" s="9">
        <v>10936</v>
      </c>
      <c r="F18" s="10">
        <v>2487</v>
      </c>
      <c r="G18" s="10">
        <v>2340</v>
      </c>
      <c r="H18" s="10">
        <v>2881</v>
      </c>
      <c r="I18" s="10">
        <v>3145</v>
      </c>
      <c r="J18" s="9">
        <v>10853</v>
      </c>
      <c r="K18" s="11">
        <v>2557</v>
      </c>
      <c r="L18" s="11">
        <v>2611</v>
      </c>
      <c r="M18" s="11">
        <v>2442</v>
      </c>
      <c r="N18" s="11"/>
      <c r="O18" s="9">
        <v>7610</v>
      </c>
      <c r="P18" s="12">
        <v>-0.1523776466504686</v>
      </c>
      <c r="Q18" s="12">
        <v>-1.2714063310845902E-2</v>
      </c>
      <c r="R18" s="13">
        <v>2.7953584560511613E-2</v>
      </c>
    </row>
    <row r="19" spans="1:18" ht="15" customHeight="1" x14ac:dyDescent="0.25">
      <c r="A19" t="s">
        <v>63</v>
      </c>
      <c r="B19" s="9">
        <v>3001</v>
      </c>
      <c r="C19" s="9">
        <v>2906</v>
      </c>
      <c r="D19" s="9">
        <v>3122</v>
      </c>
      <c r="E19" s="9">
        <v>3011</v>
      </c>
      <c r="F19" s="10">
        <v>358</v>
      </c>
      <c r="G19" s="10">
        <v>448</v>
      </c>
      <c r="H19" s="10">
        <v>466</v>
      </c>
      <c r="I19" s="10">
        <v>708</v>
      </c>
      <c r="J19" s="9">
        <v>1980</v>
      </c>
      <c r="K19" s="11">
        <v>410</v>
      </c>
      <c r="L19" s="11">
        <v>500</v>
      </c>
      <c r="M19" s="11">
        <v>417</v>
      </c>
      <c r="N19" s="11"/>
      <c r="O19" s="9">
        <v>1327</v>
      </c>
      <c r="P19" s="12">
        <v>-0.10515021459227469</v>
      </c>
      <c r="Q19" s="12">
        <v>4.3238993710691842E-2</v>
      </c>
      <c r="R19" s="13">
        <v>4.8744292656765983E-3</v>
      </c>
    </row>
    <row r="20" spans="1:18" ht="15" customHeight="1" x14ac:dyDescent="0.25">
      <c r="A20" t="s">
        <v>29</v>
      </c>
      <c r="B20" s="9">
        <v>18427</v>
      </c>
      <c r="C20" s="9">
        <v>17275</v>
      </c>
      <c r="D20" s="9">
        <v>18034</v>
      </c>
      <c r="E20" s="9">
        <v>18816</v>
      </c>
      <c r="F20" s="10">
        <v>3516</v>
      </c>
      <c r="G20" s="10">
        <v>4081</v>
      </c>
      <c r="H20" s="10">
        <v>4485</v>
      </c>
      <c r="I20" s="10">
        <v>4565</v>
      </c>
      <c r="J20" s="9">
        <v>16647</v>
      </c>
      <c r="K20" s="11">
        <v>3523</v>
      </c>
      <c r="L20" s="11">
        <v>3804</v>
      </c>
      <c r="M20" s="11">
        <v>4672</v>
      </c>
      <c r="N20" s="11"/>
      <c r="O20" s="9">
        <v>11999</v>
      </c>
      <c r="P20" s="12">
        <v>4.1694537346711247E-2</v>
      </c>
      <c r="Q20" s="12">
        <v>-6.8697235557027003E-3</v>
      </c>
      <c r="R20" s="13">
        <v>4.4075566510062926E-2</v>
      </c>
    </row>
    <row r="21" spans="1:18" ht="15" customHeight="1" x14ac:dyDescent="0.25">
      <c r="A21" t="s">
        <v>30</v>
      </c>
      <c r="B21" s="9">
        <v>585</v>
      </c>
      <c r="C21" s="9">
        <v>585</v>
      </c>
      <c r="D21" s="9">
        <v>584</v>
      </c>
      <c r="E21" s="9">
        <v>599</v>
      </c>
      <c r="F21" s="10">
        <v>139</v>
      </c>
      <c r="G21" s="10">
        <v>148</v>
      </c>
      <c r="H21" s="10">
        <v>137</v>
      </c>
      <c r="I21" s="10">
        <v>133</v>
      </c>
      <c r="J21" s="9">
        <v>557</v>
      </c>
      <c r="K21" s="11">
        <v>122</v>
      </c>
      <c r="L21" s="11">
        <v>136</v>
      </c>
      <c r="M21" s="11">
        <v>125</v>
      </c>
      <c r="N21" s="11"/>
      <c r="O21" s="9">
        <v>383</v>
      </c>
      <c r="P21" s="12">
        <v>-8.7591240875912413E-2</v>
      </c>
      <c r="Q21" s="12">
        <v>-9.6698113207547176E-2</v>
      </c>
      <c r="R21" s="13">
        <v>1.4068624029797566E-3</v>
      </c>
    </row>
    <row r="22" spans="1:18" ht="15" customHeight="1" x14ac:dyDescent="0.25">
      <c r="A22" t="s">
        <v>31</v>
      </c>
      <c r="B22" s="9">
        <v>419</v>
      </c>
      <c r="C22" s="9">
        <v>567</v>
      </c>
      <c r="D22" s="9">
        <v>595</v>
      </c>
      <c r="E22" s="9">
        <v>501</v>
      </c>
      <c r="F22" s="10">
        <v>101</v>
      </c>
      <c r="G22" s="10">
        <v>155</v>
      </c>
      <c r="H22" s="10">
        <v>48</v>
      </c>
      <c r="I22" s="10">
        <v>60</v>
      </c>
      <c r="J22" s="9">
        <v>364</v>
      </c>
      <c r="K22" s="11">
        <v>76</v>
      </c>
      <c r="L22" s="11">
        <v>113</v>
      </c>
      <c r="M22" s="11">
        <v>107</v>
      </c>
      <c r="N22" s="11"/>
      <c r="O22" s="9">
        <v>296</v>
      </c>
      <c r="P22" s="12">
        <v>1.2291666666666665</v>
      </c>
      <c r="Q22" s="12">
        <v>-2.6315789473684181E-2</v>
      </c>
      <c r="R22" s="13">
        <v>1.0872879145744333E-3</v>
      </c>
    </row>
    <row r="23" spans="1:18" ht="15" customHeight="1" x14ac:dyDescent="0.25">
      <c r="A23" t="s">
        <v>54</v>
      </c>
      <c r="B23" s="9">
        <v>101310</v>
      </c>
      <c r="C23" s="9">
        <v>100650</v>
      </c>
      <c r="D23" s="9">
        <v>97327</v>
      </c>
      <c r="E23" s="9">
        <v>98543</v>
      </c>
      <c r="F23" s="10">
        <v>24067</v>
      </c>
      <c r="G23" s="10">
        <v>21858</v>
      </c>
      <c r="H23" s="10">
        <v>24091</v>
      </c>
      <c r="I23" s="10">
        <v>24275</v>
      </c>
      <c r="J23" s="9">
        <v>94291</v>
      </c>
      <c r="K23" s="11">
        <v>19050</v>
      </c>
      <c r="L23" s="11">
        <v>21411</v>
      </c>
      <c r="M23" s="11">
        <v>23204</v>
      </c>
      <c r="N23" s="11"/>
      <c r="O23" s="9">
        <v>63665</v>
      </c>
      <c r="P23" s="12">
        <v>-3.6818728985928306E-2</v>
      </c>
      <c r="Q23" s="12">
        <v>-9.0707838208409552E-2</v>
      </c>
      <c r="R23" s="13">
        <v>0.23385873338304491</v>
      </c>
    </row>
    <row r="24" spans="1:18" ht="15" customHeight="1" x14ac:dyDescent="0.25">
      <c r="A24" t="s">
        <v>55</v>
      </c>
      <c r="B24" s="9">
        <v>1576</v>
      </c>
      <c r="C24" s="9">
        <v>1132</v>
      </c>
      <c r="D24" s="9">
        <v>952</v>
      </c>
      <c r="E24" s="9">
        <v>717</v>
      </c>
      <c r="F24" s="10">
        <v>204</v>
      </c>
      <c r="G24" s="10">
        <v>174</v>
      </c>
      <c r="H24" s="10">
        <v>167</v>
      </c>
      <c r="I24" s="10">
        <v>151</v>
      </c>
      <c r="J24" s="9">
        <v>696</v>
      </c>
      <c r="K24" s="11">
        <v>190</v>
      </c>
      <c r="L24" s="11">
        <v>200</v>
      </c>
      <c r="M24" s="11">
        <v>249</v>
      </c>
      <c r="N24" s="11"/>
      <c r="O24" s="9">
        <v>639</v>
      </c>
      <c r="P24" s="12">
        <v>0.49101796407185638</v>
      </c>
      <c r="Q24" s="12">
        <v>0.17247706422018338</v>
      </c>
      <c r="R24" s="13">
        <v>2.3472195182873746E-3</v>
      </c>
    </row>
    <row r="25" spans="1:18" ht="15" customHeight="1" x14ac:dyDescent="0.25">
      <c r="A25" t="s">
        <v>33</v>
      </c>
      <c r="B25" s="9">
        <v>38141</v>
      </c>
      <c r="C25" s="9">
        <v>37583</v>
      </c>
      <c r="D25" s="9">
        <v>36685</v>
      </c>
      <c r="E25" s="9">
        <v>36454</v>
      </c>
      <c r="F25" s="10">
        <v>6315</v>
      </c>
      <c r="G25" s="10">
        <v>7597</v>
      </c>
      <c r="H25" s="10">
        <v>7205</v>
      </c>
      <c r="I25" s="10">
        <v>7934</v>
      </c>
      <c r="J25" s="9">
        <v>29051</v>
      </c>
      <c r="K25" s="11">
        <v>7614</v>
      </c>
      <c r="L25" s="11">
        <v>7978</v>
      </c>
      <c r="M25" s="11">
        <v>6473</v>
      </c>
      <c r="N25" s="11"/>
      <c r="O25" s="9">
        <v>22065</v>
      </c>
      <c r="P25" s="12">
        <v>-0.10159611380985423</v>
      </c>
      <c r="Q25" s="12">
        <v>4.4892740446086155E-2</v>
      </c>
      <c r="R25" s="13">
        <v>8.1050702145556999E-2</v>
      </c>
    </row>
    <row r="26" spans="1:18" ht="15" customHeight="1" x14ac:dyDescent="0.25">
      <c r="A26" t="s">
        <v>64</v>
      </c>
      <c r="B26" s="9">
        <v>4513</v>
      </c>
      <c r="C26" s="9">
        <v>4422</v>
      </c>
      <c r="D26" s="9">
        <v>1154</v>
      </c>
      <c r="E26" s="9">
        <v>639</v>
      </c>
      <c r="F26" s="10">
        <v>590</v>
      </c>
      <c r="G26" s="10">
        <v>403</v>
      </c>
      <c r="H26" s="10">
        <v>442</v>
      </c>
      <c r="I26" s="10">
        <v>669</v>
      </c>
      <c r="J26" s="9">
        <v>2104</v>
      </c>
      <c r="K26" s="11">
        <v>651</v>
      </c>
      <c r="L26" s="11">
        <v>504</v>
      </c>
      <c r="M26" s="11">
        <v>625</v>
      </c>
      <c r="N26" s="11"/>
      <c r="O26" s="9">
        <v>1780</v>
      </c>
      <c r="P26" s="12">
        <v>0.41402714932126705</v>
      </c>
      <c r="Q26" s="12">
        <v>0.24041811846689898</v>
      </c>
      <c r="R26" s="13">
        <v>6.5384205673732817E-3</v>
      </c>
    </row>
    <row r="27" spans="1:18" ht="15" customHeight="1" x14ac:dyDescent="0.25">
      <c r="A27" t="s">
        <v>56</v>
      </c>
      <c r="B27" s="9">
        <v>1139</v>
      </c>
      <c r="C27" s="9">
        <v>962</v>
      </c>
      <c r="D27" s="9">
        <v>958</v>
      </c>
      <c r="E27" s="9">
        <v>947</v>
      </c>
      <c r="F27" s="10">
        <v>220</v>
      </c>
      <c r="G27" s="10">
        <v>212</v>
      </c>
      <c r="H27" s="10">
        <v>181</v>
      </c>
      <c r="I27" s="10">
        <v>241</v>
      </c>
      <c r="J27" s="9">
        <v>854</v>
      </c>
      <c r="K27" s="11">
        <v>210</v>
      </c>
      <c r="L27" s="11">
        <v>224</v>
      </c>
      <c r="M27" s="11">
        <v>176</v>
      </c>
      <c r="N27" s="11"/>
      <c r="O27" s="9">
        <v>610</v>
      </c>
      <c r="P27" s="12">
        <v>-2.7624309392265234E-2</v>
      </c>
      <c r="Q27" s="12">
        <v>-4.8939641109299048E-3</v>
      </c>
      <c r="R27" s="13">
        <v>2.2406946888189334E-3</v>
      </c>
    </row>
    <row r="28" spans="1:18" ht="15" customHeight="1" x14ac:dyDescent="0.25">
      <c r="A28" t="s">
        <v>34</v>
      </c>
      <c r="B28" s="9">
        <v>8636</v>
      </c>
      <c r="C28" s="9">
        <v>7574</v>
      </c>
      <c r="D28" s="9">
        <v>7235</v>
      </c>
      <c r="E28" s="9">
        <v>7922</v>
      </c>
      <c r="F28" s="10">
        <v>1765</v>
      </c>
      <c r="G28" s="10">
        <v>1799</v>
      </c>
      <c r="H28" s="10">
        <v>1867</v>
      </c>
      <c r="I28" s="10">
        <v>2137</v>
      </c>
      <c r="J28" s="9">
        <v>7568</v>
      </c>
      <c r="K28" s="11">
        <v>1217</v>
      </c>
      <c r="L28" s="11">
        <v>1355</v>
      </c>
      <c r="M28" s="11">
        <v>1276</v>
      </c>
      <c r="N28" s="11"/>
      <c r="O28" s="9">
        <v>3848</v>
      </c>
      <c r="P28" s="12">
        <v>-0.31655061596143541</v>
      </c>
      <c r="Q28" s="12">
        <v>-0.29147486650708898</v>
      </c>
      <c r="R28" s="13">
        <v>1.4134742889467634E-2</v>
      </c>
    </row>
    <row r="29" spans="1:18" ht="15" customHeight="1" x14ac:dyDescent="0.25">
      <c r="A29" t="s">
        <v>35</v>
      </c>
      <c r="B29" s="9">
        <f>SUBTOTAL(109,Tabell_Storb[2021])</f>
        <v>399962</v>
      </c>
      <c r="C29" s="9">
        <f>SUBTOTAL(109,Tabell_Storb[2022])</f>
        <v>400216</v>
      </c>
      <c r="D29" s="9">
        <f>SUBTOTAL(109,Tabell_Storb[2023])</f>
        <v>409803</v>
      </c>
      <c r="E29" s="9">
        <f>SUBTOTAL(109,Tabell_Storb[2024])</f>
        <v>414259</v>
      </c>
      <c r="F29" s="9">
        <f>SUBTOTAL(109,Tabell_Storb[Kvartal 1 2025])</f>
        <v>89102</v>
      </c>
      <c r="G29" s="9">
        <f>SUBTOTAL(109,Tabell_Storb[Kvartal 2 2025])</f>
        <v>86855</v>
      </c>
      <c r="H29" s="9">
        <f>SUBTOTAL(109,Tabell_Storb[Kvartal 3 2025])</f>
        <v>96973</v>
      </c>
      <c r="I29" s="9">
        <f>SUBTOTAL(109,Tabell_Storb[Kvartal 4 2025])</f>
        <v>102667</v>
      </c>
      <c r="J29" s="9">
        <f>SUBTOTAL(109,Tabell_Storb[2025])</f>
        <v>375597</v>
      </c>
      <c r="K29" s="9">
        <f>SUBTOTAL(109,Tabell_Storb[Kvartal 1 2026])</f>
        <v>85597</v>
      </c>
      <c r="L29" s="9">
        <f>SUBTOTAL(109,Tabell_Storb[Kvartal 2 2026])</f>
        <v>89393</v>
      </c>
      <c r="M29" s="9">
        <f>SUBTOTAL(109,Tabell_Storb[Kvartal 3 2026])</f>
        <v>97247</v>
      </c>
      <c r="N29" s="9">
        <f>SUBTOTAL(109,Tabell_Storb[Kvartal 4 2026])</f>
        <v>0</v>
      </c>
      <c r="O29" s="9">
        <f>SUBTOTAL(109,Tabell_Storb[2026])</f>
        <v>272237</v>
      </c>
      <c r="P29" s="15">
        <f>M29/H29-1</f>
        <v>2.8255287554268538E-3</v>
      </c>
      <c r="Q29" s="15">
        <f>O29/SUM(F29:H29)-1</f>
        <v>-2.53911259297257E-3</v>
      </c>
      <c r="R29" s="13">
        <f>SUBTOTAL(109,Tabell_Storb[Procentuell andel 2026*])</f>
        <v>1.0000000000000002</v>
      </c>
    </row>
    <row r="30" spans="1:18" ht="15" customHeight="1" x14ac:dyDescent="0.25">
      <c r="A30" t="s">
        <v>65</v>
      </c>
    </row>
    <row r="31" spans="1:18" ht="15" customHeight="1" x14ac:dyDescent="0.25">
      <c r="A31" t="s">
        <v>37</v>
      </c>
    </row>
    <row r="32" spans="1:18" ht="15" customHeight="1" x14ac:dyDescent="0.25">
      <c r="A32" t="s">
        <v>66</v>
      </c>
    </row>
    <row r="33" spans="1:1" ht="15" customHeight="1" x14ac:dyDescent="0.25">
      <c r="A33" t="s">
        <v>39</v>
      </c>
    </row>
    <row r="34" spans="1:1" ht="15" customHeight="1" x14ac:dyDescent="0.25"/>
    <row r="35" spans="1:1" ht="15" customHeight="1" x14ac:dyDescent="0.25"/>
    <row r="36" spans="1:1" ht="15" customHeight="1" x14ac:dyDescent="0.25"/>
    <row r="37" spans="1:1" ht="15" customHeight="1" x14ac:dyDescent="0.25"/>
    <row r="38" spans="1:1" ht="15" customHeight="1" x14ac:dyDescent="0.25"/>
    <row r="39" spans="1:1" ht="15" customHeight="1" x14ac:dyDescent="0.25"/>
    <row r="40" spans="1:1" ht="15" customHeight="1" x14ac:dyDescent="0.25"/>
    <row r="41" spans="1:1" ht="15" customHeight="1" x14ac:dyDescent="0.25"/>
    <row r="42" spans="1:1" ht="15" customHeight="1" x14ac:dyDescent="0.25"/>
    <row r="43" spans="1:1" ht="15" customHeight="1" x14ac:dyDescent="0.25"/>
    <row r="44" spans="1:1" ht="15" customHeight="1" x14ac:dyDescent="0.25"/>
    <row r="45" spans="1:1" ht="15" customHeight="1" x14ac:dyDescent="0.25"/>
    <row r="46" spans="1:1" ht="15" customHeight="1" x14ac:dyDescent="0.25"/>
    <row r="47" spans="1:1" ht="15" customHeight="1" x14ac:dyDescent="0.25"/>
    <row r="48" spans="1:1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</sheetData>
  <pageMargins left="0.70866141732283472" right="0.31496062992125984" top="0.55118110236220474" bottom="0.74803149606299213" header="0.31496062992125984" footer="0.31496062992125984"/>
  <pageSetup paperSize="9" scale="78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7531B-0615-432E-97EA-787F868D6FA3}">
  <sheetPr codeName="flFår">
    <pageSetUpPr fitToPage="1"/>
  </sheetPr>
  <dimension ref="A1:R92"/>
  <sheetViews>
    <sheetView workbookViewId="0">
      <selection activeCell="A2" sqref="A2"/>
    </sheetView>
  </sheetViews>
  <sheetFormatPr defaultColWidth="9.140625" defaultRowHeight="12" x14ac:dyDescent="0.2"/>
  <cols>
    <col min="1" max="1" width="27" style="17" customWidth="1"/>
    <col min="2" max="15" width="8.28515625" style="17" customWidth="1"/>
    <col min="16" max="16" width="9.28515625" style="17" customWidth="1"/>
    <col min="17" max="17" width="10.140625" style="17" customWidth="1"/>
    <col min="18" max="18" width="10" style="17" customWidth="1"/>
    <col min="19" max="16384" width="9.140625" style="17"/>
  </cols>
  <sheetData>
    <row r="1" spans="1:18" ht="92.25" customHeight="1" x14ac:dyDescent="0.25">
      <c r="A1" s="1" t="s">
        <v>67</v>
      </c>
      <c r="B1"/>
      <c r="C1" s="1"/>
      <c r="E1"/>
      <c r="F1"/>
      <c r="G1"/>
      <c r="H1"/>
      <c r="I1"/>
      <c r="J1" s="1"/>
      <c r="K1"/>
      <c r="L1"/>
      <c r="M1"/>
      <c r="N1"/>
      <c r="O1"/>
      <c r="P1"/>
      <c r="Q1"/>
      <c r="R1" s="2"/>
    </row>
    <row r="2" spans="1:18" ht="4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4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4" t="s">
        <v>15</v>
      </c>
      <c r="P2" s="6" t="s">
        <v>16</v>
      </c>
      <c r="Q2" s="6" t="s">
        <v>17</v>
      </c>
      <c r="R2" s="7" t="s">
        <v>18</v>
      </c>
    </row>
    <row r="3" spans="1:18" ht="15" customHeight="1" x14ac:dyDescent="0.25">
      <c r="A3" t="s">
        <v>68</v>
      </c>
      <c r="B3" s="9">
        <v>3087</v>
      </c>
      <c r="C3" s="9">
        <v>2875</v>
      </c>
      <c r="D3" s="9">
        <v>1509</v>
      </c>
      <c r="E3" s="9">
        <v>1420</v>
      </c>
      <c r="F3" s="10">
        <v>242</v>
      </c>
      <c r="G3" s="10">
        <v>528</v>
      </c>
      <c r="H3" s="10">
        <v>383</v>
      </c>
      <c r="I3" s="10">
        <v>371</v>
      </c>
      <c r="J3" s="9">
        <v>1524</v>
      </c>
      <c r="K3" s="11">
        <v>409</v>
      </c>
      <c r="L3" s="11">
        <v>584</v>
      </c>
      <c r="M3" s="11">
        <v>580</v>
      </c>
      <c r="N3" s="11"/>
      <c r="O3" s="9">
        <v>1573</v>
      </c>
      <c r="P3" s="12">
        <v>0.51436031331592691</v>
      </c>
      <c r="Q3" s="12">
        <v>0.36426712922810056</v>
      </c>
      <c r="R3" s="13">
        <v>1.3380970609501936E-2</v>
      </c>
    </row>
    <row r="4" spans="1:18" ht="15" customHeight="1" x14ac:dyDescent="0.25">
      <c r="A4" t="s">
        <v>20</v>
      </c>
      <c r="B4" s="9">
        <v>921</v>
      </c>
      <c r="C4" s="9">
        <v>758</v>
      </c>
      <c r="D4" s="9">
        <v>754</v>
      </c>
      <c r="E4" s="9">
        <v>645</v>
      </c>
      <c r="F4" s="10">
        <v>15</v>
      </c>
      <c r="G4" s="10">
        <v>120</v>
      </c>
      <c r="H4" s="10">
        <v>219</v>
      </c>
      <c r="I4" s="10">
        <v>304</v>
      </c>
      <c r="J4" s="9">
        <v>658</v>
      </c>
      <c r="K4" s="11">
        <v>72</v>
      </c>
      <c r="L4" s="11">
        <v>58</v>
      </c>
      <c r="M4" s="11">
        <v>184</v>
      </c>
      <c r="N4" s="11"/>
      <c r="O4" s="9">
        <v>314</v>
      </c>
      <c r="P4" s="12">
        <v>-0.15981735159817356</v>
      </c>
      <c r="Q4" s="12">
        <v>-0.11299435028248583</v>
      </c>
      <c r="R4" s="13">
        <v>2.6710901280251795E-3</v>
      </c>
    </row>
    <row r="5" spans="1:18" ht="15" customHeight="1" x14ac:dyDescent="0.25">
      <c r="A5" t="s">
        <v>45</v>
      </c>
      <c r="B5" s="9">
        <v>1234</v>
      </c>
      <c r="C5" s="9">
        <v>1885</v>
      </c>
      <c r="D5" s="9">
        <v>2298</v>
      </c>
      <c r="E5" s="9">
        <v>1678</v>
      </c>
      <c r="F5" s="10">
        <v>153</v>
      </c>
      <c r="G5" s="10">
        <v>114</v>
      </c>
      <c r="H5" s="10">
        <v>373</v>
      </c>
      <c r="I5" s="10">
        <v>812</v>
      </c>
      <c r="J5" s="9">
        <v>1452</v>
      </c>
      <c r="K5" s="11">
        <v>318</v>
      </c>
      <c r="L5" s="11">
        <v>344</v>
      </c>
      <c r="M5" s="11">
        <v>492</v>
      </c>
      <c r="N5" s="11"/>
      <c r="O5" s="9">
        <v>1154</v>
      </c>
      <c r="P5" s="12">
        <v>0.31903485254691688</v>
      </c>
      <c r="Q5" s="12">
        <v>0.80312500000000009</v>
      </c>
      <c r="R5" s="13">
        <v>9.8166815533154688E-3</v>
      </c>
    </row>
    <row r="6" spans="1:18" ht="15" customHeight="1" x14ac:dyDescent="0.25">
      <c r="A6" t="s">
        <v>47</v>
      </c>
      <c r="B6" s="9">
        <v>4381</v>
      </c>
      <c r="C6" s="9">
        <v>5280</v>
      </c>
      <c r="D6" s="9">
        <v>5505</v>
      </c>
      <c r="E6" s="9">
        <v>5290</v>
      </c>
      <c r="F6" s="10">
        <v>628</v>
      </c>
      <c r="G6" s="10">
        <v>733</v>
      </c>
      <c r="H6" s="10">
        <v>937</v>
      </c>
      <c r="I6" s="10">
        <v>1356</v>
      </c>
      <c r="J6" s="9">
        <v>3654</v>
      </c>
      <c r="K6" s="11">
        <v>732</v>
      </c>
      <c r="L6" s="11">
        <v>569</v>
      </c>
      <c r="M6" s="11">
        <v>956</v>
      </c>
      <c r="N6" s="11"/>
      <c r="O6" s="9">
        <v>2257</v>
      </c>
      <c r="P6" s="12">
        <v>2.0277481323372371E-2</v>
      </c>
      <c r="Q6" s="12">
        <v>-1.7841601392515227E-2</v>
      </c>
      <c r="R6" s="13">
        <v>1.9199523627238313E-2</v>
      </c>
    </row>
    <row r="7" spans="1:18" ht="15" customHeight="1" x14ac:dyDescent="0.25">
      <c r="A7" t="s">
        <v>49</v>
      </c>
      <c r="B7" s="9">
        <v>1135</v>
      </c>
      <c r="C7" s="9">
        <v>1107</v>
      </c>
      <c r="D7" s="9">
        <v>1035</v>
      </c>
      <c r="E7" s="9">
        <v>860</v>
      </c>
      <c r="F7" s="10">
        <v>203</v>
      </c>
      <c r="G7" s="10">
        <v>170</v>
      </c>
      <c r="H7" s="10">
        <v>323</v>
      </c>
      <c r="I7" s="10">
        <v>166</v>
      </c>
      <c r="J7" s="9">
        <v>862</v>
      </c>
      <c r="K7" s="11">
        <v>201</v>
      </c>
      <c r="L7" s="11">
        <v>131</v>
      </c>
      <c r="M7" s="11">
        <v>237</v>
      </c>
      <c r="N7" s="11"/>
      <c r="O7" s="9">
        <v>569</v>
      </c>
      <c r="P7" s="12">
        <v>-0.26625386996904021</v>
      </c>
      <c r="Q7" s="12">
        <v>-0.18247126436781613</v>
      </c>
      <c r="R7" s="13">
        <v>4.8402875249883032E-3</v>
      </c>
    </row>
    <row r="8" spans="1:18" ht="15" customHeight="1" x14ac:dyDescent="0.25">
      <c r="A8" t="s">
        <v>23</v>
      </c>
      <c r="B8" s="9">
        <v>1017</v>
      </c>
      <c r="C8" s="9">
        <v>1546</v>
      </c>
      <c r="D8" s="9">
        <v>2022</v>
      </c>
      <c r="E8" s="9">
        <v>2215</v>
      </c>
      <c r="F8" s="10">
        <v>290</v>
      </c>
      <c r="G8" s="10">
        <v>595</v>
      </c>
      <c r="H8" s="10">
        <v>803</v>
      </c>
      <c r="I8" s="10">
        <v>771</v>
      </c>
      <c r="J8" s="9">
        <v>2459</v>
      </c>
      <c r="K8" s="11">
        <v>555</v>
      </c>
      <c r="L8" s="11">
        <v>611</v>
      </c>
      <c r="M8" s="11">
        <v>765</v>
      </c>
      <c r="N8" s="11"/>
      <c r="O8" s="9">
        <v>1931</v>
      </c>
      <c r="P8" s="12">
        <v>-4.7322540473225372E-2</v>
      </c>
      <c r="Q8" s="12">
        <v>0.14395734597156395</v>
      </c>
      <c r="R8" s="13">
        <v>1.6426353621708988E-2</v>
      </c>
    </row>
    <row r="9" spans="1:18" ht="15" customHeight="1" x14ac:dyDescent="0.25">
      <c r="A9" t="s">
        <v>50</v>
      </c>
      <c r="B9" s="9">
        <v>1716</v>
      </c>
      <c r="C9" s="9">
        <v>1512</v>
      </c>
      <c r="D9" s="9">
        <v>1534</v>
      </c>
      <c r="E9" s="9">
        <v>1928</v>
      </c>
      <c r="F9" s="10">
        <v>261</v>
      </c>
      <c r="G9" s="10">
        <v>216</v>
      </c>
      <c r="H9" s="10">
        <v>442</v>
      </c>
      <c r="I9" s="10">
        <v>722</v>
      </c>
      <c r="J9" s="9">
        <v>1641</v>
      </c>
      <c r="K9" s="11">
        <v>306</v>
      </c>
      <c r="L9" s="11">
        <v>147</v>
      </c>
      <c r="M9" s="11">
        <v>417</v>
      </c>
      <c r="N9" s="11"/>
      <c r="O9" s="9">
        <v>870</v>
      </c>
      <c r="P9" s="12">
        <v>-5.65610859728507E-2</v>
      </c>
      <c r="Q9" s="12">
        <v>-5.3318824809575616E-2</v>
      </c>
      <c r="R9" s="13">
        <v>7.4007911190506568E-3</v>
      </c>
    </row>
    <row r="10" spans="1:18" ht="15" customHeight="1" x14ac:dyDescent="0.25">
      <c r="A10" t="s">
        <v>25</v>
      </c>
      <c r="B10" s="9">
        <v>21982</v>
      </c>
      <c r="C10" s="9">
        <v>33808</v>
      </c>
      <c r="D10" s="9">
        <v>27525</v>
      </c>
      <c r="E10" s="9">
        <v>23065</v>
      </c>
      <c r="F10" s="10">
        <v>3585</v>
      </c>
      <c r="G10" s="10">
        <v>6872</v>
      </c>
      <c r="H10" s="10">
        <v>6295</v>
      </c>
      <c r="I10" s="10">
        <v>8114</v>
      </c>
      <c r="J10" s="9">
        <v>24866</v>
      </c>
      <c r="K10" s="11">
        <v>5169</v>
      </c>
      <c r="L10" s="11">
        <v>5967</v>
      </c>
      <c r="M10" s="11">
        <v>7825</v>
      </c>
      <c r="N10" s="11"/>
      <c r="O10" s="9">
        <v>18961</v>
      </c>
      <c r="P10" s="12">
        <v>0.2430500397140587</v>
      </c>
      <c r="Q10" s="12">
        <v>0.13186485195797526</v>
      </c>
      <c r="R10" s="13">
        <v>0.16129471311301094</v>
      </c>
    </row>
    <row r="11" spans="1:18" ht="15" customHeight="1" x14ac:dyDescent="0.25">
      <c r="A11" t="s">
        <v>51</v>
      </c>
      <c r="B11" s="9">
        <v>11988</v>
      </c>
      <c r="C11" s="9">
        <v>4730</v>
      </c>
      <c r="D11" s="9">
        <v>14928</v>
      </c>
      <c r="E11" s="9">
        <v>16534</v>
      </c>
      <c r="F11" s="10">
        <v>2785</v>
      </c>
      <c r="G11" s="10">
        <v>4795</v>
      </c>
      <c r="H11" s="10">
        <v>4756</v>
      </c>
      <c r="I11" s="10">
        <v>5123</v>
      </c>
      <c r="J11" s="9">
        <v>17459</v>
      </c>
      <c r="K11" s="11">
        <v>4082</v>
      </c>
      <c r="L11" s="11">
        <v>4441</v>
      </c>
      <c r="M11" s="11">
        <v>5206</v>
      </c>
      <c r="N11" s="11"/>
      <c r="O11" s="9">
        <v>13729</v>
      </c>
      <c r="P11" s="12">
        <v>9.4617325483599579E-2</v>
      </c>
      <c r="Q11" s="12">
        <v>0.11292153047989628</v>
      </c>
      <c r="R11" s="13">
        <v>0.11678788652120284</v>
      </c>
    </row>
    <row r="12" spans="1:18" ht="15" customHeight="1" x14ac:dyDescent="0.25">
      <c r="A12" t="s">
        <v>69</v>
      </c>
      <c r="B12" s="9">
        <v>5662</v>
      </c>
      <c r="C12" s="9">
        <v>6303</v>
      </c>
      <c r="D12" s="9">
        <v>6801</v>
      </c>
      <c r="E12" s="9">
        <v>5880</v>
      </c>
      <c r="F12" s="10">
        <v>466</v>
      </c>
      <c r="G12" s="10">
        <v>796</v>
      </c>
      <c r="H12" s="10">
        <v>1463</v>
      </c>
      <c r="I12" s="10">
        <v>2737</v>
      </c>
      <c r="J12" s="9">
        <v>5462</v>
      </c>
      <c r="K12" s="11">
        <v>702</v>
      </c>
      <c r="L12" s="11">
        <v>320</v>
      </c>
      <c r="M12" s="11">
        <v>666</v>
      </c>
      <c r="N12" s="11"/>
      <c r="O12" s="9">
        <v>1688</v>
      </c>
      <c r="P12" s="12">
        <v>-0.54477101845522902</v>
      </c>
      <c r="Q12" s="12">
        <v>-0.38055045871559634</v>
      </c>
      <c r="R12" s="13">
        <v>1.4359236102250011E-2</v>
      </c>
    </row>
    <row r="13" spans="1:18" ht="15" customHeight="1" x14ac:dyDescent="0.25">
      <c r="A13" t="s">
        <v>52</v>
      </c>
      <c r="B13" s="9">
        <v>3102</v>
      </c>
      <c r="C13" s="9">
        <v>3271</v>
      </c>
      <c r="D13" s="9">
        <v>3032</v>
      </c>
      <c r="E13" s="9">
        <v>3049</v>
      </c>
      <c r="F13" s="10">
        <v>297</v>
      </c>
      <c r="G13" s="10">
        <v>215</v>
      </c>
      <c r="H13" s="10">
        <v>770</v>
      </c>
      <c r="I13" s="10">
        <v>1244</v>
      </c>
      <c r="J13" s="9">
        <v>2526</v>
      </c>
      <c r="K13" s="11">
        <v>220</v>
      </c>
      <c r="L13" s="11">
        <v>210</v>
      </c>
      <c r="M13" s="11">
        <v>554</v>
      </c>
      <c r="N13" s="11"/>
      <c r="O13" s="9">
        <v>984</v>
      </c>
      <c r="P13" s="12">
        <v>-0.2805194805194805</v>
      </c>
      <c r="Q13" s="12">
        <v>-0.23244929797191882</v>
      </c>
      <c r="R13" s="13">
        <v>8.3705499553400533E-3</v>
      </c>
    </row>
    <row r="14" spans="1:18" ht="15" customHeight="1" x14ac:dyDescent="0.25">
      <c r="A14" t="s">
        <v>62</v>
      </c>
      <c r="B14" s="9">
        <v>1319</v>
      </c>
      <c r="C14" s="9">
        <v>1085</v>
      </c>
      <c r="D14" s="9">
        <v>1122</v>
      </c>
      <c r="E14" s="9">
        <v>917</v>
      </c>
      <c r="F14" s="10">
        <v>71</v>
      </c>
      <c r="G14" s="10">
        <v>38</v>
      </c>
      <c r="H14" s="10">
        <v>217</v>
      </c>
      <c r="I14" s="10">
        <v>599</v>
      </c>
      <c r="J14" s="9">
        <v>925</v>
      </c>
      <c r="K14" s="11">
        <v>44</v>
      </c>
      <c r="L14" s="11">
        <v>47</v>
      </c>
      <c r="M14" s="11">
        <v>270</v>
      </c>
      <c r="N14" s="11"/>
      <c r="O14" s="9">
        <v>361</v>
      </c>
      <c r="P14" s="12">
        <v>0.24423963133640547</v>
      </c>
      <c r="Q14" s="12">
        <v>0.1073619631901841</v>
      </c>
      <c r="R14" s="13">
        <v>3.0709029815830886E-3</v>
      </c>
    </row>
    <row r="15" spans="1:18" ht="15" customHeight="1" x14ac:dyDescent="0.25">
      <c r="A15" t="s">
        <v>29</v>
      </c>
      <c r="B15" s="9">
        <v>29622</v>
      </c>
      <c r="C15" s="9">
        <v>28380</v>
      </c>
      <c r="D15" s="9">
        <v>30261</v>
      </c>
      <c r="E15" s="9">
        <v>27044</v>
      </c>
      <c r="F15" s="10">
        <v>5227</v>
      </c>
      <c r="G15" s="10">
        <v>6244</v>
      </c>
      <c r="H15" s="10">
        <v>7622</v>
      </c>
      <c r="I15" s="10">
        <v>8540</v>
      </c>
      <c r="J15" s="9">
        <v>27633</v>
      </c>
      <c r="K15" s="11">
        <v>4730</v>
      </c>
      <c r="L15" s="11">
        <v>6367</v>
      </c>
      <c r="M15" s="11">
        <v>6191</v>
      </c>
      <c r="N15" s="11"/>
      <c r="O15" s="9">
        <v>17288</v>
      </c>
      <c r="P15" s="12">
        <v>-0.18774599842561013</v>
      </c>
      <c r="Q15" s="12">
        <v>-9.4537264966217949E-2</v>
      </c>
      <c r="R15" s="13">
        <v>0.14706307685764111</v>
      </c>
    </row>
    <row r="16" spans="1:18" ht="15" customHeight="1" x14ac:dyDescent="0.25">
      <c r="A16" t="s">
        <v>30</v>
      </c>
      <c r="B16" s="9">
        <v>3443</v>
      </c>
      <c r="C16" s="9">
        <v>3344</v>
      </c>
      <c r="D16" s="9">
        <v>3441</v>
      </c>
      <c r="E16" s="9">
        <v>2449</v>
      </c>
      <c r="F16" s="10">
        <v>778</v>
      </c>
      <c r="G16" s="10">
        <v>523</v>
      </c>
      <c r="H16" s="10">
        <v>708</v>
      </c>
      <c r="I16" s="10">
        <v>603</v>
      </c>
      <c r="J16" s="9">
        <v>2612</v>
      </c>
      <c r="K16" s="11">
        <v>655</v>
      </c>
      <c r="L16" s="11">
        <v>583</v>
      </c>
      <c r="M16" s="11">
        <v>730</v>
      </c>
      <c r="N16" s="11"/>
      <c r="O16" s="9">
        <v>1968</v>
      </c>
      <c r="P16" s="12">
        <v>3.1073446327683607E-2</v>
      </c>
      <c r="Q16" s="12">
        <v>-2.0408163265306145E-2</v>
      </c>
      <c r="R16" s="13">
        <v>1.6741099910680107E-2</v>
      </c>
    </row>
    <row r="17" spans="1:18" ht="15" customHeight="1" x14ac:dyDescent="0.25">
      <c r="A17" t="s">
        <v>31</v>
      </c>
      <c r="B17" s="9">
        <v>2344</v>
      </c>
      <c r="C17" s="9">
        <v>2966</v>
      </c>
      <c r="D17" s="9">
        <v>3710</v>
      </c>
      <c r="E17" s="9">
        <v>3362</v>
      </c>
      <c r="F17" s="10">
        <v>363</v>
      </c>
      <c r="G17" s="10">
        <v>273</v>
      </c>
      <c r="H17" s="10">
        <v>759</v>
      </c>
      <c r="I17" s="10">
        <v>1483</v>
      </c>
      <c r="J17" s="9">
        <v>2878</v>
      </c>
      <c r="K17" s="11">
        <v>632</v>
      </c>
      <c r="L17" s="11">
        <v>323</v>
      </c>
      <c r="M17" s="11">
        <v>1015</v>
      </c>
      <c r="N17" s="11"/>
      <c r="O17" s="9">
        <v>1970</v>
      </c>
      <c r="P17" s="12">
        <v>0.33728590250329371</v>
      </c>
      <c r="Q17" s="12">
        <v>0.41218637992831542</v>
      </c>
      <c r="R17" s="13">
        <v>1.6758113223597465E-2</v>
      </c>
    </row>
    <row r="18" spans="1:18" ht="15" customHeight="1" x14ac:dyDescent="0.25">
      <c r="A18" t="s">
        <v>54</v>
      </c>
      <c r="B18" s="9">
        <v>87156</v>
      </c>
      <c r="C18" s="9">
        <v>84407</v>
      </c>
      <c r="D18" s="9">
        <v>82992</v>
      </c>
      <c r="E18" s="9">
        <v>71854</v>
      </c>
      <c r="F18" s="10">
        <v>9198</v>
      </c>
      <c r="G18" s="10">
        <v>14917</v>
      </c>
      <c r="H18" s="10">
        <v>16680</v>
      </c>
      <c r="I18" s="10">
        <v>17985</v>
      </c>
      <c r="J18" s="9">
        <v>58780</v>
      </c>
      <c r="K18" s="11">
        <v>11762</v>
      </c>
      <c r="L18" s="11">
        <v>13807</v>
      </c>
      <c r="M18" s="11">
        <v>14832</v>
      </c>
      <c r="N18" s="11"/>
      <c r="O18" s="9">
        <v>40401</v>
      </c>
      <c r="P18" s="12">
        <v>-0.11079136690647484</v>
      </c>
      <c r="Q18" s="12">
        <v>-9.6580463292069707E-3</v>
      </c>
      <c r="R18" s="13">
        <v>0.34367742758708691</v>
      </c>
    </row>
    <row r="19" spans="1:18" ht="15" customHeight="1" x14ac:dyDescent="0.25">
      <c r="A19" t="s">
        <v>70</v>
      </c>
      <c r="B19" s="9">
        <v>9746</v>
      </c>
      <c r="C19" s="9">
        <v>8704</v>
      </c>
      <c r="D19" s="9">
        <v>8263</v>
      </c>
      <c r="E19" s="9">
        <v>6827</v>
      </c>
      <c r="F19" s="10">
        <v>1081</v>
      </c>
      <c r="G19" s="10">
        <v>949</v>
      </c>
      <c r="H19" s="10">
        <v>1487</v>
      </c>
      <c r="I19" s="10">
        <v>2914</v>
      </c>
      <c r="J19" s="9">
        <v>6431</v>
      </c>
      <c r="K19" s="11">
        <v>1320</v>
      </c>
      <c r="L19" s="11">
        <v>613</v>
      </c>
      <c r="M19" s="11">
        <v>1555</v>
      </c>
      <c r="N19" s="11"/>
      <c r="O19" s="9">
        <v>3488</v>
      </c>
      <c r="P19" s="12">
        <v>4.5729657027572257E-2</v>
      </c>
      <c r="Q19" s="12">
        <v>-8.2456639181119895E-3</v>
      </c>
      <c r="R19" s="13">
        <v>2.9671217727872061E-2</v>
      </c>
    </row>
    <row r="20" spans="1:18" ht="15" customHeight="1" x14ac:dyDescent="0.25">
      <c r="A20" t="s">
        <v>55</v>
      </c>
      <c r="B20" s="9">
        <v>1133</v>
      </c>
      <c r="C20" s="9">
        <v>1019</v>
      </c>
      <c r="D20" s="9">
        <v>1117</v>
      </c>
      <c r="E20" s="9">
        <v>916</v>
      </c>
      <c r="F20" s="10">
        <v>247</v>
      </c>
      <c r="G20" s="10">
        <v>53</v>
      </c>
      <c r="H20" s="10">
        <v>256</v>
      </c>
      <c r="I20" s="10">
        <v>353</v>
      </c>
      <c r="J20" s="9">
        <v>909</v>
      </c>
      <c r="K20" s="11">
        <v>182</v>
      </c>
      <c r="L20" s="11">
        <v>82</v>
      </c>
      <c r="M20" s="11">
        <v>342</v>
      </c>
      <c r="N20" s="11"/>
      <c r="O20" s="9">
        <v>606</v>
      </c>
      <c r="P20" s="12">
        <v>0.3359375</v>
      </c>
      <c r="Q20" s="12">
        <v>8.9928057553956942E-2</v>
      </c>
      <c r="R20" s="13">
        <v>5.1550338139594231E-3</v>
      </c>
    </row>
    <row r="21" spans="1:18" ht="15" customHeight="1" x14ac:dyDescent="0.25">
      <c r="A21" t="s">
        <v>71</v>
      </c>
      <c r="B21" s="9">
        <v>554</v>
      </c>
      <c r="C21" s="9">
        <v>599</v>
      </c>
      <c r="D21" s="9">
        <v>673</v>
      </c>
      <c r="E21" s="9">
        <v>597</v>
      </c>
      <c r="F21" s="10">
        <v>10</v>
      </c>
      <c r="G21" s="10">
        <v>11</v>
      </c>
      <c r="H21" s="10">
        <v>138</v>
      </c>
      <c r="I21" s="10">
        <v>221</v>
      </c>
      <c r="J21" s="9">
        <v>380</v>
      </c>
      <c r="K21" s="11">
        <v>20</v>
      </c>
      <c r="L21" s="11">
        <v>4</v>
      </c>
      <c r="M21" s="11">
        <v>173</v>
      </c>
      <c r="N21" s="11"/>
      <c r="O21" s="9">
        <v>197</v>
      </c>
      <c r="P21" s="12">
        <v>0.25362318840579712</v>
      </c>
      <c r="Q21" s="12">
        <v>0.23899371069182385</v>
      </c>
      <c r="R21" s="13">
        <v>1.6758113223597465E-3</v>
      </c>
    </row>
    <row r="22" spans="1:18" ht="15" customHeight="1" x14ac:dyDescent="0.25">
      <c r="A22" t="s">
        <v>64</v>
      </c>
      <c r="B22" s="9">
        <v>2178</v>
      </c>
      <c r="C22" s="9">
        <v>2468</v>
      </c>
      <c r="D22" s="9">
        <v>287</v>
      </c>
      <c r="E22" s="9">
        <v>984</v>
      </c>
      <c r="F22" s="10">
        <v>160</v>
      </c>
      <c r="G22" s="10">
        <v>57</v>
      </c>
      <c r="H22" s="10">
        <v>185</v>
      </c>
      <c r="I22" s="10">
        <v>413</v>
      </c>
      <c r="J22" s="9">
        <v>815</v>
      </c>
      <c r="K22" s="11">
        <v>123</v>
      </c>
      <c r="L22" s="11">
        <v>21</v>
      </c>
      <c r="M22" s="11">
        <v>314</v>
      </c>
      <c r="N22" s="11"/>
      <c r="O22" s="9">
        <v>458</v>
      </c>
      <c r="P22" s="12">
        <v>0.69729729729729728</v>
      </c>
      <c r="Q22" s="12">
        <v>0.13930348258706471</v>
      </c>
      <c r="R22" s="13">
        <v>3.8960486580749435E-3</v>
      </c>
    </row>
    <row r="23" spans="1:18" ht="15" customHeight="1" x14ac:dyDescent="0.25">
      <c r="A23" t="s">
        <v>72</v>
      </c>
      <c r="B23" s="9">
        <v>1425</v>
      </c>
      <c r="C23" s="9">
        <v>1174</v>
      </c>
      <c r="D23" s="9">
        <v>1244</v>
      </c>
      <c r="E23" s="9">
        <v>1075</v>
      </c>
      <c r="F23" s="10">
        <v>44</v>
      </c>
      <c r="G23" s="10">
        <v>12</v>
      </c>
      <c r="H23" s="10">
        <v>394</v>
      </c>
      <c r="I23" s="10">
        <v>736</v>
      </c>
      <c r="J23" s="9">
        <v>1186</v>
      </c>
      <c r="K23" s="11">
        <v>31</v>
      </c>
      <c r="L23" s="11">
        <v>12</v>
      </c>
      <c r="M23" s="11">
        <v>304</v>
      </c>
      <c r="N23" s="11"/>
      <c r="O23" s="9">
        <v>347</v>
      </c>
      <c r="P23" s="12">
        <v>-0.22842639593908631</v>
      </c>
      <c r="Q23" s="12">
        <v>-0.22888888888888892</v>
      </c>
      <c r="R23" s="13">
        <v>2.9518097911615838E-3</v>
      </c>
    </row>
    <row r="24" spans="1:18" ht="15" customHeight="1" x14ac:dyDescent="0.25">
      <c r="A24" t="s">
        <v>56</v>
      </c>
      <c r="B24" s="9">
        <v>1396</v>
      </c>
      <c r="C24" s="9">
        <v>1047</v>
      </c>
      <c r="D24" s="9">
        <v>1040</v>
      </c>
      <c r="E24" s="9">
        <v>927</v>
      </c>
      <c r="F24" s="10">
        <v>101</v>
      </c>
      <c r="G24" s="10">
        <v>113</v>
      </c>
      <c r="H24" s="10">
        <v>212</v>
      </c>
      <c r="I24" s="10">
        <v>339</v>
      </c>
      <c r="J24" s="9">
        <v>765</v>
      </c>
      <c r="K24" s="11">
        <v>108</v>
      </c>
      <c r="L24" s="11">
        <v>74</v>
      </c>
      <c r="M24" s="11">
        <v>208</v>
      </c>
      <c r="N24" s="11"/>
      <c r="O24" s="9">
        <v>390</v>
      </c>
      <c r="P24" s="12">
        <v>-1.8867924528301883E-2</v>
      </c>
      <c r="Q24" s="12">
        <v>-8.4507042253521125E-2</v>
      </c>
      <c r="R24" s="13">
        <v>3.3175960188847773E-3</v>
      </c>
    </row>
    <row r="25" spans="1:18" ht="15" customHeight="1" x14ac:dyDescent="0.25">
      <c r="A25" t="s">
        <v>73</v>
      </c>
      <c r="B25" s="9">
        <v>1410</v>
      </c>
      <c r="C25" s="9">
        <v>1457</v>
      </c>
      <c r="D25" s="9">
        <v>1637</v>
      </c>
      <c r="E25" s="9">
        <v>1324</v>
      </c>
      <c r="F25" s="10">
        <v>110</v>
      </c>
      <c r="G25" s="10">
        <v>178</v>
      </c>
      <c r="H25" s="10">
        <v>435</v>
      </c>
      <c r="I25" s="10">
        <v>761</v>
      </c>
      <c r="J25" s="9">
        <v>1484</v>
      </c>
      <c r="K25" s="11">
        <v>140</v>
      </c>
      <c r="L25" s="11">
        <v>85</v>
      </c>
      <c r="M25" s="11">
        <v>376</v>
      </c>
      <c r="N25" s="11"/>
      <c r="O25" s="9">
        <v>601</v>
      </c>
      <c r="P25" s="12">
        <v>-0.13563218390804599</v>
      </c>
      <c r="Q25" s="12">
        <v>-0.16874135546334712</v>
      </c>
      <c r="R25" s="13">
        <v>5.1125005316660288E-3</v>
      </c>
    </row>
    <row r="26" spans="1:18" ht="15" customHeight="1" x14ac:dyDescent="0.25">
      <c r="A26" t="s">
        <v>74</v>
      </c>
      <c r="B26" s="9">
        <v>1062</v>
      </c>
      <c r="C26" s="9">
        <v>952</v>
      </c>
      <c r="D26" s="9">
        <v>903</v>
      </c>
      <c r="E26" s="9">
        <v>752</v>
      </c>
      <c r="F26" s="10">
        <v>135</v>
      </c>
      <c r="G26" s="10">
        <v>95</v>
      </c>
      <c r="H26" s="10">
        <v>221</v>
      </c>
      <c r="I26" s="10">
        <v>431</v>
      </c>
      <c r="J26" s="9">
        <v>882</v>
      </c>
      <c r="K26" s="11">
        <v>94</v>
      </c>
      <c r="L26" s="11">
        <v>52</v>
      </c>
      <c r="M26" s="11">
        <v>234</v>
      </c>
      <c r="N26" s="11"/>
      <c r="O26" s="9">
        <v>380</v>
      </c>
      <c r="P26" s="12">
        <v>5.8823529411764719E-2</v>
      </c>
      <c r="Q26" s="12">
        <v>-0.15742793791574283</v>
      </c>
      <c r="R26" s="13">
        <v>3.2325294542979882E-3</v>
      </c>
    </row>
    <row r="27" spans="1:18" ht="15" customHeight="1" x14ac:dyDescent="0.25">
      <c r="A27" t="s">
        <v>75</v>
      </c>
      <c r="B27" s="9">
        <v>4327</v>
      </c>
      <c r="C27" s="9">
        <v>3950</v>
      </c>
      <c r="D27" s="9">
        <v>3969</v>
      </c>
      <c r="E27" s="9">
        <v>3537</v>
      </c>
      <c r="F27" s="10">
        <v>360</v>
      </c>
      <c r="G27" s="10">
        <v>403</v>
      </c>
      <c r="H27" s="10">
        <v>857</v>
      </c>
      <c r="I27" s="10">
        <v>1594</v>
      </c>
      <c r="J27" s="9">
        <v>3214</v>
      </c>
      <c r="K27" s="11">
        <v>488</v>
      </c>
      <c r="L27" s="11">
        <v>302</v>
      </c>
      <c r="M27" s="11">
        <v>871</v>
      </c>
      <c r="N27" s="11"/>
      <c r="O27" s="9">
        <v>1661</v>
      </c>
      <c r="P27" s="12">
        <v>1.6336056009334854E-2</v>
      </c>
      <c r="Q27" s="12">
        <v>2.5308641975308577E-2</v>
      </c>
      <c r="R27" s="13">
        <v>1.4129556377865679E-2</v>
      </c>
    </row>
    <row r="28" spans="1:18" ht="15" customHeight="1" x14ac:dyDescent="0.25">
      <c r="A28" t="s">
        <v>34</v>
      </c>
      <c r="B28" s="9">
        <v>26780</v>
      </c>
      <c r="C28" s="9">
        <v>24195</v>
      </c>
      <c r="D28" s="9">
        <v>21530</v>
      </c>
      <c r="E28" s="9">
        <v>16673</v>
      </c>
      <c r="F28" s="10">
        <v>1724</v>
      </c>
      <c r="G28" s="10">
        <v>1550</v>
      </c>
      <c r="H28" s="10">
        <v>4131</v>
      </c>
      <c r="I28" s="10">
        <v>8285</v>
      </c>
      <c r="J28" s="9">
        <v>15690</v>
      </c>
      <c r="K28" s="11">
        <v>1243</v>
      </c>
      <c r="L28" s="11">
        <v>544</v>
      </c>
      <c r="M28" s="11">
        <v>1622</v>
      </c>
      <c r="N28" s="11"/>
      <c r="O28" s="9">
        <v>3409</v>
      </c>
      <c r="P28" s="12">
        <v>-0.60735899297990803</v>
      </c>
      <c r="Q28" s="12">
        <v>-0.53963538149898715</v>
      </c>
      <c r="R28" s="13">
        <v>2.8999191867636425E-2</v>
      </c>
    </row>
    <row r="29" spans="1:18" ht="15" customHeight="1" x14ac:dyDescent="0.25">
      <c r="A29" t="s">
        <v>35</v>
      </c>
      <c r="B29" s="9">
        <f>SUBTOTAL(109,Tabell_Får[2021])</f>
        <v>230120</v>
      </c>
      <c r="C29" s="9">
        <f>SUBTOTAL(109,Tabell_Får[2022])</f>
        <v>228822</v>
      </c>
      <c r="D29" s="9">
        <f>SUBTOTAL(109,Tabell_Får[2023])</f>
        <v>229132</v>
      </c>
      <c r="E29" s="9">
        <f>SUBTOTAL(109,Tabell_Får[2024])</f>
        <v>201802</v>
      </c>
      <c r="F29" s="9">
        <f>SUBTOTAL(109,Tabell_Får[Kvartal 1 2025])</f>
        <v>28534</v>
      </c>
      <c r="G29" s="9">
        <f>SUBTOTAL(109,Tabell_Får[Kvartal 2 2025])</f>
        <v>40570</v>
      </c>
      <c r="H29" s="9">
        <f>SUBTOTAL(109,Tabell_Får[Kvartal 3 2025])</f>
        <v>51066</v>
      </c>
      <c r="I29" s="9">
        <f>SUBTOTAL(109,Tabell_Får[Kvartal 4 2025])</f>
        <v>66977</v>
      </c>
      <c r="J29" s="9">
        <f>SUBTOTAL(109,Tabell_Får[2025])</f>
        <v>187147</v>
      </c>
      <c r="K29" s="9">
        <f>SUBTOTAL(109,Tabell_Får[Kvartal 1 2026])</f>
        <v>34338</v>
      </c>
      <c r="L29" s="9">
        <f>SUBTOTAL(109,Tabell_Får[Kvartal 2 2026])</f>
        <v>36298</v>
      </c>
      <c r="M29" s="9">
        <f>SUBTOTAL(109,Tabell_Får[Kvartal 3 2026])</f>
        <v>46919</v>
      </c>
      <c r="N29" s="9">
        <f>SUBTOTAL(109,Tabell_Får[Kvartal 4 2026])</f>
        <v>0</v>
      </c>
      <c r="O29" s="9">
        <f>SUBTOTAL(109,Tabell_Får[2026])</f>
        <v>117555</v>
      </c>
      <c r="P29" s="15">
        <f>M29/H29-1</f>
        <v>-8.1208631966474765E-2</v>
      </c>
      <c r="Q29" s="15">
        <f>O29/SUM(F29:H29)-1</f>
        <v>-2.1760838811683447E-2</v>
      </c>
      <c r="R29" s="13">
        <f>SUBTOTAL(109,Tabell_Får[Procentuell andel 2026*])</f>
        <v>0.99999999999999989</v>
      </c>
    </row>
    <row r="30" spans="1:18" ht="15" customHeight="1" x14ac:dyDescent="0.2">
      <c r="A30" s="17" t="s">
        <v>76</v>
      </c>
    </row>
    <row r="31" spans="1:18" ht="15" customHeight="1" x14ac:dyDescent="0.2">
      <c r="A31" s="17" t="s">
        <v>37</v>
      </c>
    </row>
    <row r="32" spans="1:18" ht="15" customHeight="1" x14ac:dyDescent="0.2">
      <c r="A32" s="17" t="s">
        <v>77</v>
      </c>
    </row>
    <row r="33" spans="1:1" ht="15" customHeight="1" x14ac:dyDescent="0.2">
      <c r="A33" s="17" t="s">
        <v>39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</sheetData>
  <dataConsolidate/>
  <pageMargins left="0.70866141732283472" right="0.31496062992125984" top="0.55118110236220474" bottom="0.74803149606299213" header="0.31496062992125984" footer="0.31496062992125984"/>
  <pageSetup paperSize="9" scale="78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8EBA8-6E25-47A0-B9D4-A548D1874C71}">
  <sheetPr codeName="flHäst">
    <pageSetUpPr fitToPage="1"/>
  </sheetPr>
  <dimension ref="A1:R92"/>
  <sheetViews>
    <sheetView workbookViewId="0">
      <selection activeCell="A2" sqref="A2"/>
    </sheetView>
  </sheetViews>
  <sheetFormatPr defaultColWidth="9.140625" defaultRowHeight="12" x14ac:dyDescent="0.2"/>
  <cols>
    <col min="1" max="1" width="27" style="17" customWidth="1"/>
    <col min="2" max="15" width="8.28515625" style="17" customWidth="1"/>
    <col min="16" max="16" width="9.28515625" style="17" customWidth="1"/>
    <col min="17" max="17" width="10.140625" style="17" customWidth="1"/>
    <col min="18" max="18" width="10" style="17" customWidth="1"/>
    <col min="19" max="16384" width="9.140625" style="17"/>
  </cols>
  <sheetData>
    <row r="1" spans="1:18" ht="92.25" customHeight="1" x14ac:dyDescent="0.25">
      <c r="A1" s="1" t="s">
        <v>78</v>
      </c>
      <c r="B1"/>
      <c r="C1" s="1"/>
      <c r="E1"/>
      <c r="F1"/>
      <c r="G1"/>
      <c r="H1"/>
      <c r="I1"/>
      <c r="J1" s="1"/>
      <c r="K1"/>
      <c r="L1"/>
      <c r="M1"/>
      <c r="N1"/>
      <c r="O1"/>
      <c r="P1"/>
      <c r="Q1"/>
      <c r="R1" s="2"/>
    </row>
    <row r="2" spans="1:18" ht="4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4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4" t="s">
        <v>15</v>
      </c>
      <c r="P2" s="6" t="s">
        <v>16</v>
      </c>
      <c r="Q2" s="6" t="s">
        <v>17</v>
      </c>
      <c r="R2" s="7" t="s">
        <v>18</v>
      </c>
    </row>
    <row r="3" spans="1:18" ht="15" customHeight="1" x14ac:dyDescent="0.25">
      <c r="A3" t="s">
        <v>45</v>
      </c>
      <c r="B3" s="9">
        <v>147</v>
      </c>
      <c r="C3" s="9">
        <v>181</v>
      </c>
      <c r="D3" s="9">
        <v>230</v>
      </c>
      <c r="E3" s="9">
        <v>251</v>
      </c>
      <c r="F3" s="10">
        <v>62</v>
      </c>
      <c r="G3" s="10">
        <v>36</v>
      </c>
      <c r="H3" s="10">
        <v>41</v>
      </c>
      <c r="I3" s="10">
        <v>60</v>
      </c>
      <c r="J3" s="9">
        <v>199</v>
      </c>
      <c r="K3" s="11">
        <v>31</v>
      </c>
      <c r="L3" s="11">
        <v>22</v>
      </c>
      <c r="M3" s="11">
        <v>36</v>
      </c>
      <c r="N3" s="11"/>
      <c r="O3" s="9">
        <v>89</v>
      </c>
      <c r="P3" s="12">
        <v>-0.12195121951219512</v>
      </c>
      <c r="Q3" s="12">
        <v>-0.35971223021582732</v>
      </c>
      <c r="R3" s="13">
        <v>0.15292096219931273</v>
      </c>
    </row>
    <row r="4" spans="1:18" ht="15" customHeight="1" x14ac:dyDescent="0.25">
      <c r="A4" t="s">
        <v>49</v>
      </c>
      <c r="B4" s="9">
        <v>105</v>
      </c>
      <c r="C4" s="9">
        <v>112</v>
      </c>
      <c r="D4" s="9">
        <v>112</v>
      </c>
      <c r="E4" s="9">
        <v>120</v>
      </c>
      <c r="F4" s="10">
        <v>38</v>
      </c>
      <c r="G4" s="10">
        <v>18</v>
      </c>
      <c r="H4" s="10">
        <v>22</v>
      </c>
      <c r="I4" s="10">
        <v>37</v>
      </c>
      <c r="J4" s="9">
        <v>115</v>
      </c>
      <c r="K4" s="11">
        <v>24</v>
      </c>
      <c r="L4" s="11">
        <v>11</v>
      </c>
      <c r="M4" s="11">
        <v>19</v>
      </c>
      <c r="N4" s="11"/>
      <c r="O4" s="9">
        <v>54</v>
      </c>
      <c r="P4" s="12">
        <v>-0.13636363636363635</v>
      </c>
      <c r="Q4" s="12">
        <v>-0.30769230769230771</v>
      </c>
      <c r="R4" s="13">
        <v>9.2783505154639179E-2</v>
      </c>
    </row>
    <row r="5" spans="1:18" ht="15" customHeight="1" x14ac:dyDescent="0.25">
      <c r="A5" t="s">
        <v>52</v>
      </c>
      <c r="B5" s="9">
        <v>50</v>
      </c>
      <c r="C5" s="9">
        <v>37</v>
      </c>
      <c r="D5" s="9">
        <v>32</v>
      </c>
      <c r="E5" s="9">
        <v>29</v>
      </c>
      <c r="F5" s="10">
        <v>2</v>
      </c>
      <c r="G5" s="10">
        <v>3</v>
      </c>
      <c r="H5" s="10">
        <v>4</v>
      </c>
      <c r="I5" s="10">
        <v>5</v>
      </c>
      <c r="J5" s="9">
        <v>14</v>
      </c>
      <c r="K5" s="11">
        <v>3</v>
      </c>
      <c r="L5" s="11">
        <v>4</v>
      </c>
      <c r="M5" s="11">
        <v>8</v>
      </c>
      <c r="N5" s="11"/>
      <c r="O5" s="9">
        <v>15</v>
      </c>
      <c r="P5" s="12">
        <v>1</v>
      </c>
      <c r="Q5" s="12">
        <v>0.66666666666666674</v>
      </c>
      <c r="R5" s="13">
        <v>2.5773195876288658E-2</v>
      </c>
    </row>
    <row r="6" spans="1:18" ht="15" customHeight="1" x14ac:dyDescent="0.25">
      <c r="A6" t="s">
        <v>62</v>
      </c>
      <c r="B6" s="9">
        <v>60</v>
      </c>
      <c r="C6" s="9">
        <v>73</v>
      </c>
      <c r="D6" s="9">
        <v>78</v>
      </c>
      <c r="E6" s="9">
        <v>82</v>
      </c>
      <c r="F6" s="10">
        <v>11</v>
      </c>
      <c r="G6" s="10">
        <v>9</v>
      </c>
      <c r="H6" s="10"/>
      <c r="I6" s="10">
        <v>7</v>
      </c>
      <c r="J6" s="9">
        <v>27</v>
      </c>
      <c r="K6" s="11">
        <v>12</v>
      </c>
      <c r="L6" s="11">
        <v>13</v>
      </c>
      <c r="M6" s="11">
        <v>13</v>
      </c>
      <c r="N6" s="11"/>
      <c r="O6" s="9">
        <v>38</v>
      </c>
      <c r="P6" s="12" t="s">
        <v>44</v>
      </c>
      <c r="Q6" s="12">
        <v>0.89999999999999991</v>
      </c>
      <c r="R6" s="13">
        <v>6.5292096219931275E-2</v>
      </c>
    </row>
    <row r="7" spans="1:18" ht="15" customHeight="1" x14ac:dyDescent="0.25">
      <c r="A7" t="s">
        <v>53</v>
      </c>
      <c r="B7" s="9">
        <v>191</v>
      </c>
      <c r="C7" s="9">
        <v>229</v>
      </c>
      <c r="D7" s="9">
        <v>298</v>
      </c>
      <c r="E7" s="9">
        <v>324</v>
      </c>
      <c r="F7" s="10">
        <v>55</v>
      </c>
      <c r="G7" s="10">
        <v>44</v>
      </c>
      <c r="H7" s="10">
        <v>74</v>
      </c>
      <c r="I7" s="10">
        <v>94</v>
      </c>
      <c r="J7" s="9">
        <v>267</v>
      </c>
      <c r="K7" s="11">
        <v>57</v>
      </c>
      <c r="L7" s="11">
        <v>52</v>
      </c>
      <c r="M7" s="11">
        <v>58</v>
      </c>
      <c r="N7" s="11"/>
      <c r="O7" s="9">
        <v>167</v>
      </c>
      <c r="P7" s="12">
        <v>-0.21621621621621623</v>
      </c>
      <c r="Q7" s="12">
        <v>-3.4682080924855474E-2</v>
      </c>
      <c r="R7" s="13">
        <v>0.28694158075601373</v>
      </c>
    </row>
    <row r="8" spans="1:18" ht="15" customHeight="1" x14ac:dyDescent="0.25">
      <c r="A8" t="s">
        <v>30</v>
      </c>
      <c r="B8" s="9">
        <v>18</v>
      </c>
      <c r="C8" s="9">
        <v>15</v>
      </c>
      <c r="D8" s="9">
        <v>33</v>
      </c>
      <c r="E8" s="9">
        <v>37</v>
      </c>
      <c r="F8" s="10">
        <v>14</v>
      </c>
      <c r="G8" s="10">
        <v>2</v>
      </c>
      <c r="H8" s="10">
        <v>4</v>
      </c>
      <c r="I8" s="10">
        <v>6</v>
      </c>
      <c r="J8" s="9">
        <v>26</v>
      </c>
      <c r="K8" s="11">
        <v>5</v>
      </c>
      <c r="L8" s="11">
        <v>10</v>
      </c>
      <c r="M8" s="11">
        <v>3</v>
      </c>
      <c r="N8" s="11"/>
      <c r="O8" s="9">
        <v>18</v>
      </c>
      <c r="P8" s="12">
        <v>-0.25</v>
      </c>
      <c r="Q8" s="12">
        <v>-9.9999999999999978E-2</v>
      </c>
      <c r="R8" s="13">
        <v>3.0927835051546393E-2</v>
      </c>
    </row>
    <row r="9" spans="1:18" ht="15" customHeight="1" x14ac:dyDescent="0.25">
      <c r="A9" t="s">
        <v>55</v>
      </c>
      <c r="B9" s="9">
        <v>30</v>
      </c>
      <c r="C9" s="9">
        <v>72</v>
      </c>
      <c r="D9" s="9">
        <v>108</v>
      </c>
      <c r="E9" s="9">
        <v>103</v>
      </c>
      <c r="F9" s="10">
        <v>17</v>
      </c>
      <c r="G9" s="10">
        <v>21</v>
      </c>
      <c r="H9" s="10">
        <v>16</v>
      </c>
      <c r="I9" s="10">
        <v>19</v>
      </c>
      <c r="J9" s="9">
        <v>73</v>
      </c>
      <c r="K9" s="11">
        <v>14</v>
      </c>
      <c r="L9" s="11">
        <v>15</v>
      </c>
      <c r="M9" s="11">
        <v>25</v>
      </c>
      <c r="N9" s="11"/>
      <c r="O9" s="9">
        <v>54</v>
      </c>
      <c r="P9" s="12">
        <v>0.5625</v>
      </c>
      <c r="Q9" s="12">
        <v>0</v>
      </c>
      <c r="R9" s="13">
        <v>9.2783505154639179E-2</v>
      </c>
    </row>
    <row r="10" spans="1:18" ht="15" customHeight="1" x14ac:dyDescent="0.25">
      <c r="A10" t="s">
        <v>71</v>
      </c>
      <c r="B10" s="9"/>
      <c r="C10" s="9">
        <v>1</v>
      </c>
      <c r="D10" s="9"/>
      <c r="E10" s="9"/>
      <c r="F10" s="10"/>
      <c r="G10" s="10"/>
      <c r="H10" s="10"/>
      <c r="I10" s="10"/>
      <c r="J10" s="9"/>
      <c r="K10" s="11"/>
      <c r="L10" s="11">
        <v>1</v>
      </c>
      <c r="M10" s="11"/>
      <c r="N10" s="11"/>
      <c r="O10" s="9">
        <v>1</v>
      </c>
      <c r="P10" s="12" t="s">
        <v>44</v>
      </c>
      <c r="Q10" s="12" t="s">
        <v>44</v>
      </c>
      <c r="R10" s="13">
        <v>1.718213058419244E-3</v>
      </c>
    </row>
    <row r="11" spans="1:18" ht="15" customHeight="1" x14ac:dyDescent="0.25">
      <c r="A11" t="s">
        <v>73</v>
      </c>
      <c r="B11" s="9">
        <v>23</v>
      </c>
      <c r="C11" s="9">
        <v>24</v>
      </c>
      <c r="D11" s="9">
        <v>27</v>
      </c>
      <c r="E11" s="9">
        <v>26</v>
      </c>
      <c r="F11" s="10">
        <v>8</v>
      </c>
      <c r="G11" s="10">
        <v>3</v>
      </c>
      <c r="H11" s="10">
        <v>3</v>
      </c>
      <c r="I11" s="10">
        <v>3</v>
      </c>
      <c r="J11" s="9">
        <v>17</v>
      </c>
      <c r="K11" s="11">
        <v>3</v>
      </c>
      <c r="L11" s="11">
        <v>2</v>
      </c>
      <c r="M11" s="11">
        <v>5</v>
      </c>
      <c r="N11" s="11"/>
      <c r="O11" s="9">
        <v>10</v>
      </c>
      <c r="P11" s="12">
        <v>0.66666666666666674</v>
      </c>
      <c r="Q11" s="12">
        <v>-0.2857142857142857</v>
      </c>
      <c r="R11" s="13">
        <v>1.7182130584192441E-2</v>
      </c>
    </row>
    <row r="12" spans="1:18" ht="15" customHeight="1" x14ac:dyDescent="0.25">
      <c r="A12" t="s">
        <v>34</v>
      </c>
      <c r="B12" s="9">
        <v>412</v>
      </c>
      <c r="C12" s="9">
        <v>299</v>
      </c>
      <c r="D12" s="9">
        <v>112</v>
      </c>
      <c r="E12" s="9">
        <v>230</v>
      </c>
      <c r="F12" s="10">
        <v>8</v>
      </c>
      <c r="G12" s="10">
        <v>1</v>
      </c>
      <c r="H12" s="10">
        <v>6</v>
      </c>
      <c r="I12" s="10">
        <v>14</v>
      </c>
      <c r="J12" s="9">
        <v>29</v>
      </c>
      <c r="K12" s="11">
        <v>62</v>
      </c>
      <c r="L12" s="11">
        <v>43</v>
      </c>
      <c r="M12" s="11">
        <v>31</v>
      </c>
      <c r="N12" s="11"/>
      <c r="O12" s="9">
        <v>136</v>
      </c>
      <c r="P12" s="12">
        <v>4.166666666666667</v>
      </c>
      <c r="Q12" s="12">
        <v>8.0666666666666664</v>
      </c>
      <c r="R12" s="13">
        <v>0.23367697594501718</v>
      </c>
    </row>
    <row r="13" spans="1:18" ht="15" customHeight="1" x14ac:dyDescent="0.25">
      <c r="A13" t="s">
        <v>35</v>
      </c>
      <c r="B13" s="9">
        <f>SUBTOTAL(109,Tabell_Häst[2021])</f>
        <v>1036</v>
      </c>
      <c r="C13" s="9">
        <f>SUBTOTAL(109,Tabell_Häst[2022])</f>
        <v>1043</v>
      </c>
      <c r="D13" s="9">
        <f>SUBTOTAL(109,Tabell_Häst[2023])</f>
        <v>1030</v>
      </c>
      <c r="E13" s="9">
        <f>SUBTOTAL(109,Tabell_Häst[2024])</f>
        <v>1202</v>
      </c>
      <c r="F13" s="9">
        <f>SUBTOTAL(109,Tabell_Häst[Kvartal 1 2025])</f>
        <v>215</v>
      </c>
      <c r="G13" s="9">
        <f>SUBTOTAL(109,Tabell_Häst[Kvartal 2 2025])</f>
        <v>137</v>
      </c>
      <c r="H13" s="9">
        <f>SUBTOTAL(109,Tabell_Häst[Kvartal 3 2025])</f>
        <v>170</v>
      </c>
      <c r="I13" s="9">
        <f>SUBTOTAL(109,Tabell_Häst[Kvartal 4 2025])</f>
        <v>245</v>
      </c>
      <c r="J13" s="9">
        <f>SUBTOTAL(109,Tabell_Häst[2025])</f>
        <v>767</v>
      </c>
      <c r="K13" s="9">
        <f>SUBTOTAL(109,Tabell_Häst[Kvartal 1 2026])</f>
        <v>211</v>
      </c>
      <c r="L13" s="9">
        <f>SUBTOTAL(109,Tabell_Häst[Kvartal 2 2026])</f>
        <v>173</v>
      </c>
      <c r="M13" s="9">
        <f>SUBTOTAL(109,Tabell_Häst[Kvartal 3 2026])</f>
        <v>198</v>
      </c>
      <c r="N13" s="9">
        <f>SUBTOTAL(109,Tabell_Häst[Kvartal 4 2026])</f>
        <v>0</v>
      </c>
      <c r="O13" s="9">
        <f>SUBTOTAL(109,Tabell_Häst[2026])</f>
        <v>582</v>
      </c>
      <c r="P13" s="15">
        <f>M13/H13-1</f>
        <v>0.16470588235294126</v>
      </c>
      <c r="Q13" s="15">
        <f>O13/SUM(F13:H13)-1</f>
        <v>0.11494252873563227</v>
      </c>
      <c r="R13" s="13">
        <f>SUBTOTAL(109,Tabell_Häst[Procentuell andel 2026*])</f>
        <v>1</v>
      </c>
    </row>
    <row r="14" spans="1:18" ht="15" customHeight="1" x14ac:dyDescent="0.2">
      <c r="A14" s="17" t="s">
        <v>79</v>
      </c>
    </row>
    <row r="15" spans="1:18" ht="15" customHeight="1" x14ac:dyDescent="0.2">
      <c r="A15" s="17" t="s">
        <v>37</v>
      </c>
    </row>
    <row r="16" spans="1:18" ht="15" customHeight="1" x14ac:dyDescent="0.2">
      <c r="A16" s="17" t="s">
        <v>80</v>
      </c>
    </row>
    <row r="17" spans="1:1" ht="15" customHeight="1" x14ac:dyDescent="0.2">
      <c r="A17" s="17" t="s">
        <v>39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</sheetData>
  <dataConsolidate/>
  <pageMargins left="0.70866141732283472" right="0.31496062992125984" top="0.55118110236220474" bottom="0.74803149606299213" header="0.31496062992125984" footer="0.31496062992125984"/>
  <pageSetup paperSize="9" scale="78" fitToHeight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1C8B5-872F-42AA-B6D9-EED42FFB4776}">
  <sheetPr codeName="Blad1"/>
  <dimension ref="A1:I30"/>
  <sheetViews>
    <sheetView zoomScaleNormal="100" workbookViewId="0">
      <selection activeCell="A2" sqref="A2"/>
    </sheetView>
  </sheetViews>
  <sheetFormatPr defaultColWidth="9.85546875" defaultRowHeight="12.75" x14ac:dyDescent="0.2"/>
  <cols>
    <col min="1" max="1" width="27" style="20" customWidth="1"/>
    <col min="2" max="2" width="10.5703125" style="20" bestFit="1" customWidth="1"/>
    <col min="3" max="3" width="12.140625" style="20" customWidth="1"/>
    <col min="4" max="5" width="10" style="20" bestFit="1" customWidth="1"/>
    <col min="6" max="6" width="8.7109375" style="20" customWidth="1"/>
    <col min="7" max="7" width="8.28515625" style="20" customWidth="1"/>
    <col min="8" max="16384" width="9.85546875" style="20"/>
  </cols>
  <sheetData>
    <row r="1" spans="1:8" s="17" customFormat="1" ht="92.25" customHeight="1" x14ac:dyDescent="0.25">
      <c r="A1" s="1" t="s">
        <v>81</v>
      </c>
      <c r="E1"/>
      <c r="F1"/>
      <c r="G1"/>
      <c r="H1"/>
    </row>
    <row r="2" spans="1:8" ht="15" x14ac:dyDescent="0.25">
      <c r="A2" s="18" t="s">
        <v>82</v>
      </c>
      <c r="B2" s="19" t="s">
        <v>83</v>
      </c>
      <c r="C2" s="19" t="s">
        <v>84</v>
      </c>
      <c r="D2" s="19" t="s">
        <v>85</v>
      </c>
      <c r="E2" s="19" t="s">
        <v>86</v>
      </c>
      <c r="F2" s="19" t="s">
        <v>87</v>
      </c>
      <c r="G2" s="19" t="s">
        <v>88</v>
      </c>
    </row>
    <row r="3" spans="1:8" ht="15" x14ac:dyDescent="0.25">
      <c r="A3" s="21">
        <v>2025</v>
      </c>
      <c r="B3" s="22">
        <v>2598948</v>
      </c>
      <c r="C3" s="22">
        <v>375516</v>
      </c>
      <c r="D3" s="22">
        <v>7262</v>
      </c>
      <c r="E3" s="22">
        <v>185856</v>
      </c>
      <c r="F3" s="22">
        <v>767</v>
      </c>
      <c r="G3" s="22">
        <v>542</v>
      </c>
    </row>
    <row r="4" spans="1:8" ht="15" x14ac:dyDescent="0.25">
      <c r="A4" s="23">
        <v>2024</v>
      </c>
      <c r="B4" s="22">
        <v>2576464</v>
      </c>
      <c r="C4" s="22">
        <v>414188</v>
      </c>
      <c r="D4" s="22">
        <v>9943</v>
      </c>
      <c r="E4" s="22">
        <v>201486</v>
      </c>
      <c r="F4" s="22">
        <v>1202</v>
      </c>
      <c r="G4" s="22">
        <v>910</v>
      </c>
    </row>
    <row r="5" spans="1:8" ht="15" x14ac:dyDescent="0.25">
      <c r="A5" s="23">
        <v>2023</v>
      </c>
      <c r="B5" s="22">
        <v>2568276</v>
      </c>
      <c r="C5" s="22">
        <v>409754</v>
      </c>
      <c r="D5" s="22">
        <v>10958</v>
      </c>
      <c r="E5" s="22">
        <v>228860</v>
      </c>
      <c r="F5" s="22">
        <v>1030</v>
      </c>
      <c r="G5" s="22">
        <v>906</v>
      </c>
    </row>
    <row r="6" spans="1:8" ht="15" x14ac:dyDescent="0.25">
      <c r="A6" s="24">
        <v>2022</v>
      </c>
      <c r="B6" s="9">
        <v>2668928</v>
      </c>
      <c r="C6" s="9">
        <v>400216</v>
      </c>
      <c r="D6" s="9">
        <v>11474</v>
      </c>
      <c r="E6" s="9">
        <v>228822</v>
      </c>
      <c r="F6" s="9">
        <v>1043</v>
      </c>
      <c r="G6" s="9">
        <v>1058</v>
      </c>
    </row>
    <row r="7" spans="1:8" ht="15" x14ac:dyDescent="0.25">
      <c r="A7" s="24">
        <v>2021</v>
      </c>
      <c r="B7" s="9">
        <v>2647847</v>
      </c>
      <c r="C7" s="9">
        <v>399962</v>
      </c>
      <c r="D7" s="9">
        <v>11499</v>
      </c>
      <c r="E7" s="9">
        <v>230120</v>
      </c>
      <c r="F7" s="9">
        <v>1036</v>
      </c>
      <c r="G7" s="9">
        <v>687</v>
      </c>
    </row>
    <row r="8" spans="1:8" ht="15" x14ac:dyDescent="0.25">
      <c r="A8" s="24">
        <v>2020</v>
      </c>
      <c r="B8" s="9">
        <v>2617581</v>
      </c>
      <c r="C8" s="9">
        <v>420198</v>
      </c>
      <c r="D8" s="9">
        <v>13468</v>
      </c>
      <c r="E8" s="9">
        <v>240517</v>
      </c>
      <c r="F8" s="9">
        <v>1413</v>
      </c>
      <c r="G8" s="9">
        <v>779</v>
      </c>
    </row>
    <row r="9" spans="1:8" ht="15" x14ac:dyDescent="0.25">
      <c r="A9" s="24">
        <v>2019</v>
      </c>
      <c r="B9" s="9">
        <v>2568189</v>
      </c>
      <c r="C9" s="9">
        <v>417043</v>
      </c>
      <c r="D9" s="9">
        <v>14891</v>
      </c>
      <c r="E9" s="9">
        <v>251708</v>
      </c>
      <c r="F9" s="9">
        <v>1712</v>
      </c>
      <c r="G9" s="9">
        <v>1198</v>
      </c>
    </row>
    <row r="10" spans="1:8" ht="15" x14ac:dyDescent="0.25">
      <c r="A10" s="24">
        <v>2018</v>
      </c>
      <c r="B10" s="9">
        <v>2640842</v>
      </c>
      <c r="C10" s="9">
        <v>409407</v>
      </c>
      <c r="D10" s="9">
        <v>15460</v>
      </c>
      <c r="E10" s="9">
        <v>280955</v>
      </c>
      <c r="F10" s="9">
        <v>1982</v>
      </c>
      <c r="G10" s="9">
        <v>1140</v>
      </c>
    </row>
    <row r="11" spans="1:8" ht="15" x14ac:dyDescent="0.25">
      <c r="A11" s="24">
        <v>2017</v>
      </c>
      <c r="B11" s="9">
        <v>2573461</v>
      </c>
      <c r="C11" s="9">
        <v>390996</v>
      </c>
      <c r="D11" s="9">
        <v>14399</v>
      </c>
      <c r="E11" s="9">
        <v>262396</v>
      </c>
      <c r="F11" s="9">
        <v>2134</v>
      </c>
      <c r="G11" s="9">
        <v>982</v>
      </c>
    </row>
    <row r="12" spans="1:8" ht="15" x14ac:dyDescent="0.25">
      <c r="A12" s="24">
        <v>2016</v>
      </c>
      <c r="B12" s="9">
        <v>2526661</v>
      </c>
      <c r="C12" s="9">
        <v>394932</v>
      </c>
      <c r="D12" s="9">
        <v>16256</v>
      </c>
      <c r="E12" s="9">
        <v>251448</v>
      </c>
      <c r="F12" s="9">
        <v>2488</v>
      </c>
      <c r="G12" s="9">
        <v>1138</v>
      </c>
    </row>
    <row r="13" spans="1:8" ht="15" x14ac:dyDescent="0.25">
      <c r="A13" s="24">
        <v>2015</v>
      </c>
      <c r="B13" s="9">
        <v>2554885</v>
      </c>
      <c r="C13" s="9">
        <v>406628</v>
      </c>
      <c r="D13" s="9">
        <v>21889</v>
      </c>
      <c r="E13" s="9">
        <v>256402</v>
      </c>
      <c r="F13" s="9">
        <v>2862</v>
      </c>
      <c r="G13" s="9">
        <v>1166</v>
      </c>
    </row>
    <row r="14" spans="1:8" ht="15" x14ac:dyDescent="0.25">
      <c r="A14" s="24">
        <v>2014</v>
      </c>
      <c r="B14" s="9">
        <v>2567911</v>
      </c>
      <c r="C14" s="9">
        <v>406088</v>
      </c>
      <c r="D14" s="9">
        <v>25739</v>
      </c>
      <c r="E14" s="9">
        <v>257808</v>
      </c>
      <c r="F14" s="9">
        <v>3646</v>
      </c>
      <c r="G14" s="9">
        <v>875</v>
      </c>
    </row>
    <row r="15" spans="1:8" ht="15" x14ac:dyDescent="0.25">
      <c r="A15" s="24">
        <v>2013</v>
      </c>
      <c r="B15" s="9">
        <v>2555848</v>
      </c>
      <c r="C15" s="9">
        <v>391347</v>
      </c>
      <c r="D15" s="9">
        <v>27091</v>
      </c>
      <c r="E15" s="9">
        <v>253097</v>
      </c>
      <c r="F15" s="9">
        <v>4012</v>
      </c>
      <c r="G15" s="9">
        <v>996</v>
      </c>
    </row>
    <row r="16" spans="1:8" ht="15" x14ac:dyDescent="0.25">
      <c r="A16" s="24">
        <v>2012</v>
      </c>
      <c r="B16" s="9">
        <v>2591862</v>
      </c>
      <c r="C16" s="9">
        <v>391826</v>
      </c>
      <c r="D16" s="9">
        <v>29133</v>
      </c>
      <c r="E16" s="9">
        <v>260521</v>
      </c>
      <c r="F16" s="9">
        <v>4359</v>
      </c>
      <c r="G16" s="9">
        <v>898</v>
      </c>
    </row>
    <row r="17" spans="1:9" ht="15" x14ac:dyDescent="0.25">
      <c r="A17" s="24">
        <v>2011</v>
      </c>
      <c r="B17" s="9">
        <v>2854837</v>
      </c>
      <c r="C17" s="9">
        <v>430061</v>
      </c>
      <c r="D17" s="9">
        <v>27188</v>
      </c>
      <c r="E17" s="9">
        <v>261993</v>
      </c>
      <c r="F17" s="9">
        <v>4507</v>
      </c>
      <c r="G17" s="9">
        <v>738</v>
      </c>
    </row>
    <row r="18" spans="1:9" ht="15" x14ac:dyDescent="0.25">
      <c r="A18" s="24">
        <v>2010</v>
      </c>
      <c r="B18" s="9">
        <v>2946689</v>
      </c>
      <c r="C18" s="9">
        <v>425664</v>
      </c>
      <c r="D18" s="9">
        <v>26655</v>
      </c>
      <c r="E18" s="9">
        <v>254909</v>
      </c>
      <c r="F18" s="9">
        <v>3969</v>
      </c>
      <c r="G18" s="9">
        <v>490</v>
      </c>
    </row>
    <row r="19" spans="1:9" ht="15" x14ac:dyDescent="0.25">
      <c r="A19" s="24">
        <v>2009</v>
      </c>
      <c r="B19" s="9">
        <v>2956412</v>
      </c>
      <c r="C19" s="9">
        <v>429526</v>
      </c>
      <c r="D19" s="9">
        <v>29425</v>
      </c>
      <c r="E19" s="9">
        <v>255072</v>
      </c>
      <c r="F19" s="9">
        <v>3814</v>
      </c>
      <c r="G19" s="9">
        <v>782</v>
      </c>
    </row>
    <row r="20" spans="1:9" ht="15" x14ac:dyDescent="0.25">
      <c r="A20" s="24">
        <v>2008</v>
      </c>
      <c r="B20" s="9">
        <v>3072441</v>
      </c>
      <c r="C20" s="9">
        <v>401597</v>
      </c>
      <c r="D20" s="9">
        <v>28661</v>
      </c>
      <c r="E20" s="9">
        <v>235031</v>
      </c>
      <c r="F20" s="9">
        <v>3496</v>
      </c>
      <c r="G20" s="9">
        <v>741</v>
      </c>
    </row>
    <row r="21" spans="1:9" ht="15" x14ac:dyDescent="0.25">
      <c r="A21" s="24">
        <v>2007</v>
      </c>
      <c r="B21" s="9">
        <v>3003777</v>
      </c>
      <c r="C21" s="9">
        <v>419408</v>
      </c>
      <c r="D21" s="9">
        <v>30124</v>
      </c>
      <c r="E21" s="9">
        <v>230975</v>
      </c>
      <c r="F21" s="9">
        <v>2995</v>
      </c>
      <c r="G21" s="9">
        <v>515</v>
      </c>
    </row>
    <row r="22" spans="1:9" ht="15" x14ac:dyDescent="0.25">
      <c r="A22" s="24">
        <v>2006</v>
      </c>
      <c r="B22" s="9">
        <v>3022036</v>
      </c>
      <c r="C22" s="9">
        <v>431679</v>
      </c>
      <c r="D22" s="9">
        <v>32425</v>
      </c>
      <c r="E22" s="9">
        <v>212854</v>
      </c>
      <c r="F22" s="9">
        <v>3021</v>
      </c>
      <c r="G22" s="9">
        <v>581</v>
      </c>
    </row>
    <row r="23" spans="1:9" ht="15" x14ac:dyDescent="0.25">
      <c r="A23" s="24">
        <v>2005</v>
      </c>
      <c r="B23" s="9">
        <v>3159941</v>
      </c>
      <c r="C23" s="9">
        <v>433044</v>
      </c>
      <c r="D23" s="9">
        <v>33036</v>
      </c>
      <c r="E23" s="9">
        <v>205983</v>
      </c>
      <c r="F23" s="9">
        <v>3521</v>
      </c>
      <c r="G23" s="9">
        <v>247</v>
      </c>
    </row>
    <row r="24" spans="1:9" ht="15" x14ac:dyDescent="0.25">
      <c r="A24" s="24">
        <v>2004</v>
      </c>
      <c r="B24" s="9">
        <v>3364833</v>
      </c>
      <c r="C24" s="9">
        <v>458016</v>
      </c>
      <c r="D24" s="9">
        <v>33868</v>
      </c>
      <c r="E24" s="9">
        <v>193241</v>
      </c>
      <c r="F24" s="9">
        <v>5042</v>
      </c>
      <c r="G24" s="9">
        <v>251</v>
      </c>
    </row>
    <row r="25" spans="1:9" ht="15" x14ac:dyDescent="0.25">
      <c r="A25" s="24">
        <v>2003</v>
      </c>
      <c r="B25" s="9">
        <v>3304939</v>
      </c>
      <c r="C25" s="9">
        <v>454222</v>
      </c>
      <c r="D25" s="9">
        <v>31536</v>
      </c>
      <c r="E25" s="9">
        <v>192432</v>
      </c>
      <c r="F25" s="9">
        <v>5349</v>
      </c>
      <c r="G25" s="9">
        <v>298</v>
      </c>
    </row>
    <row r="26" spans="1:9" ht="15" x14ac:dyDescent="0.25">
      <c r="A26" s="24">
        <v>2002</v>
      </c>
      <c r="B26" s="9">
        <v>3282338</v>
      </c>
      <c r="C26" s="9">
        <v>472928</v>
      </c>
      <c r="D26" s="9">
        <v>33831</v>
      </c>
      <c r="E26" s="9">
        <v>197278</v>
      </c>
      <c r="F26" s="9">
        <v>5454</v>
      </c>
      <c r="G26" s="9">
        <v>489</v>
      </c>
    </row>
    <row r="27" spans="1:9" ht="15" x14ac:dyDescent="0.25">
      <c r="A27" s="24">
        <v>2001</v>
      </c>
      <c r="B27" s="9">
        <v>3197296</v>
      </c>
      <c r="C27" s="9">
        <v>464032</v>
      </c>
      <c r="D27" s="9">
        <v>34290</v>
      </c>
      <c r="E27" s="9">
        <v>197343</v>
      </c>
      <c r="F27" s="9">
        <v>5173</v>
      </c>
      <c r="G27" s="9">
        <v>405</v>
      </c>
    </row>
    <row r="28" spans="1:9" ht="15.75" thickBot="1" x14ac:dyDescent="0.3">
      <c r="A28" s="25">
        <v>2000</v>
      </c>
      <c r="B28" s="26">
        <v>3256929</v>
      </c>
      <c r="C28" s="26">
        <v>490169</v>
      </c>
      <c r="D28" s="26">
        <v>39068</v>
      </c>
      <c r="E28" s="26">
        <v>203836</v>
      </c>
      <c r="F28" s="26">
        <v>5448</v>
      </c>
      <c r="G28" s="26">
        <v>391</v>
      </c>
    </row>
    <row r="30" spans="1:9" x14ac:dyDescent="0.2">
      <c r="B30" s="27"/>
      <c r="C30" s="27"/>
      <c r="D30" s="27"/>
      <c r="E30" s="27"/>
      <c r="F30" s="27"/>
      <c r="G30" s="27"/>
      <c r="H30" s="27"/>
      <c r="I30" s="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Gris</vt:lpstr>
      <vt:lpstr>Kalv</vt:lpstr>
      <vt:lpstr>Storboskap</vt:lpstr>
      <vt:lpstr>Får och lamm</vt:lpstr>
      <vt:lpstr>Häst</vt:lpstr>
      <vt:lpstr>Årshistorik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Kvartalsstatistik för godkänd slakt kvartal 3 år 2026</dc:title>
  <dc:creator>Jordbruksverket</dc:creator>
  <cp:keywords>Storboskap, Kalv, Gris, Får och lamm, Häst, Årshistorik,</cp:keywords>
  <cp:lastModifiedBy>Lisa Andersson</cp:lastModifiedBy>
  <dcterms:created xsi:type="dcterms:W3CDTF">2026-10-14T11:35:26Z</dcterms:created>
  <dcterms:modified xsi:type="dcterms:W3CDTF">2026-10-14T13:08:23Z</dcterms:modified>
</cp:coreProperties>
</file>