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Enhet\Kontrollenheter\Kontrollområden\Köttklassning\Planering, uppföljning och statistik\Statistik\Kvartalsstatistik\2024\"/>
    </mc:Choice>
  </mc:AlternateContent>
  <xr:revisionPtr revIDLastSave="0" documentId="8_{345CCC02-4AC0-458C-89CD-AABE3DECC5AC}" xr6:coauthVersionLast="36" xr6:coauthVersionMax="36" xr10:uidLastSave="{00000000-0000-0000-0000-000000000000}"/>
  <bookViews>
    <workbookView xWindow="0" yWindow="0" windowWidth="28800" windowHeight="12105" xr2:uid="{B7AFE103-A5FE-49FE-880D-8AD2DBCB544D}"/>
  </bookViews>
  <sheets>
    <sheet name="Gris" sheetId="1" r:id="rId1"/>
    <sheet name="Storboskap" sheetId="2" r:id="rId2"/>
    <sheet name="Kalv" sheetId="3" r:id="rId3"/>
    <sheet name="Får och lamm" sheetId="4" r:id="rId4"/>
    <sheet name="Häst" sheetId="5" r:id="rId5"/>
    <sheet name="Årshistorik" sheetId="6" r:id="rId6"/>
  </sheets>
  <externalReferences>
    <externalReference r:id="rId7"/>
  </externalReferences>
  <definedNames>
    <definedName name="rngAvbugga">[1]Instruktion!$K$9</definedName>
    <definedName name="rngMedgivande">[1]Instruktion!$K$12</definedName>
    <definedName name="rngTidstämpel">[1]Instruktion!#REF!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5" l="1"/>
  <c r="O12" i="5"/>
  <c r="Q12" i="5" s="1"/>
  <c r="N12" i="5"/>
  <c r="P12" i="5" s="1"/>
  <c r="M12" i="5"/>
  <c r="L12" i="5"/>
  <c r="K12" i="5"/>
  <c r="J12" i="5"/>
  <c r="I12" i="5"/>
  <c r="H12" i="5"/>
  <c r="G12" i="5"/>
  <c r="F12" i="5"/>
  <c r="E12" i="5"/>
  <c r="D12" i="5"/>
  <c r="C12" i="5"/>
  <c r="B12" i="5"/>
  <c r="R29" i="4"/>
  <c r="P29" i="4"/>
  <c r="O29" i="4"/>
  <c r="Q29" i="4" s="1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R24" i="3"/>
  <c r="P24" i="3"/>
  <c r="O24" i="3"/>
  <c r="Q24" i="3" s="1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R29" i="2"/>
  <c r="O29" i="2"/>
  <c r="Q29" i="2" s="1"/>
  <c r="N29" i="2"/>
  <c r="P29" i="2" s="1"/>
  <c r="M29" i="2"/>
  <c r="L29" i="2"/>
  <c r="K29" i="2"/>
  <c r="J29" i="2"/>
  <c r="I29" i="2"/>
  <c r="H29" i="2"/>
  <c r="G29" i="2"/>
  <c r="F29" i="2"/>
  <c r="E29" i="2"/>
  <c r="D29" i="2"/>
  <c r="C29" i="2"/>
  <c r="B29" i="2"/>
  <c r="R19" i="1"/>
  <c r="Q19" i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<sst xmlns="http://schemas.openxmlformats.org/spreadsheetml/2006/main" count="228" uniqueCount="89">
  <si>
    <t>Antal slaktade grisar, uppdaterad kvartal 4 2024</t>
  </si>
  <si>
    <t>Anläggning</t>
  </si>
  <si>
    <t>2019</t>
  </si>
  <si>
    <t>2020</t>
  </si>
  <si>
    <t>2021</t>
  </si>
  <si>
    <t>2022</t>
  </si>
  <si>
    <t>Kvartal 1 2023</t>
  </si>
  <si>
    <t>Kvartal 2 2023</t>
  </si>
  <si>
    <t>Kvartal 3 2023</t>
  </si>
  <si>
    <t>Kvartal 4 2023</t>
  </si>
  <si>
    <t>2023</t>
  </si>
  <si>
    <t>Kvartal 1 2024</t>
  </si>
  <si>
    <t>Kvartal 2 2024</t>
  </si>
  <si>
    <t>Kvartal 3 2024</t>
  </si>
  <si>
    <t>Kvartal 4 2024</t>
  </si>
  <si>
    <t>2024</t>
  </si>
  <si>
    <t>Förändring kv 4 från 2023-2024</t>
  </si>
  <si>
    <t>Förändring kv 1-4 från 2023–2024</t>
  </si>
  <si>
    <t>Procentuell andel 2024*</t>
  </si>
  <si>
    <t>AB Ginsten Slakteri</t>
  </si>
  <si>
    <t>Alviksgårdens Lantbruks AB</t>
  </si>
  <si>
    <t>Brantestads Gårdsslakteri</t>
  </si>
  <si>
    <t>Dahlbergs Slakteri AB</t>
  </si>
  <si>
    <t>Ickholmens slakteri</t>
  </si>
  <si>
    <t>KLS Ugglarps AB Dalsjöfors</t>
  </si>
  <si>
    <t>KLS Ugglarps AB Kalmar</t>
  </si>
  <si>
    <t>KLS Ugglarps AB, Hörby</t>
  </si>
  <si>
    <t>KLS Ugglarps AB, Trelleborg</t>
  </si>
  <si>
    <t>Lindells Gårdsslakteri AB</t>
  </si>
  <si>
    <t>Lövsta Kött AB</t>
  </si>
  <si>
    <t>Protos AB</t>
  </si>
  <si>
    <t>Ragnar Johanssons Kött o Chark AB</t>
  </si>
  <si>
    <t>Scan, Kristianstad</t>
  </si>
  <si>
    <t>Skövde Slakteri</t>
  </si>
  <si>
    <t>Övriga</t>
  </si>
  <si>
    <t>Total svensk slakt</t>
  </si>
  <si>
    <t>Tabellen visar 15 av de 42 slakterier som har slaktat grisar under 2024. Källa: Jordbruksverket</t>
  </si>
  <si>
    <t>Sammanställningen utgår från slakteriernas veckorapportering till Jordbruksverket och visar antal slaktade djur som godkänts som livsmedel</t>
  </si>
  <si>
    <t>Ingående kategorier: Samtliga djur av djurslaget svin inklusive suggor och galtar</t>
  </si>
  <si>
    <t>*Den procentuella andelen av slakten utgår från anläggning, inte företag. Det förekommer att slakteriföretag legoslaktar åt varandra.</t>
  </si>
  <si>
    <t>Antal slaktade storboskap, uppdaterad kvartal 4 2024</t>
  </si>
  <si>
    <t>Almunge Kött</t>
  </si>
  <si>
    <t>Bjursunds Slakteri AB</t>
  </si>
  <si>
    <t>David Karlgrens Slakteri AB</t>
  </si>
  <si>
    <t>Delsbo Slakteri</t>
  </si>
  <si>
    <t>Ello i Lammhult AB</t>
  </si>
  <si>
    <t>Faringe Kött &amp; Slakt AB</t>
  </si>
  <si>
    <t>Jämtlandsgårdens Livsmedel AB</t>
  </si>
  <si>
    <t>Mostorps Gård AB</t>
  </si>
  <si>
    <t>Norrbottengården Slakteri AB</t>
  </si>
  <si>
    <t>Nyhléns Hugosons AB - Ullånger</t>
  </si>
  <si>
    <t>Närkes Slakteri i Gällersta AB</t>
  </si>
  <si>
    <t>PP Slakt AB</t>
  </si>
  <si>
    <t>Scan, Linköping</t>
  </si>
  <si>
    <t>Skånska Vilt AB</t>
  </si>
  <si>
    <t>Sörby Slakteri</t>
  </si>
  <si>
    <t>Varekils Slakteri AB</t>
  </si>
  <si>
    <t>Tabellen visar 25 av de 61 slakterier som har slaktat storboskap under 2024. Källa: Jordbruksverket</t>
  </si>
  <si>
    <t>Ingående kategorier: Samtliga nötkreatur utom späd-, göd-, och mellankalv</t>
  </si>
  <si>
    <t>Antal slaktade kalvar, uppdaterad kvartal 4 2024</t>
  </si>
  <si>
    <t>─</t>
  </si>
  <si>
    <t>Bassholma slakteri AB</t>
  </si>
  <si>
    <t>Bäsinge Slakteri AB</t>
  </si>
  <si>
    <t>–</t>
  </si>
  <si>
    <t>Roslagens Slakt och Chark AB</t>
  </si>
  <si>
    <t>Tabellen visar 20 av de 39 slakterier som har slaktat kalvar under 2024. Källa: Jordbruksverket</t>
  </si>
  <si>
    <t>Ingående kategorier: späd-, göd-, och mellankalv</t>
  </si>
  <si>
    <t>Antal slaktade får och lamm, uppdaterad kvartal 4 2024</t>
  </si>
  <si>
    <t>Appeltorps Lamm o Vilt</t>
  </si>
  <si>
    <t>Ljungskile Kött AB</t>
  </si>
  <si>
    <t>Lundsbols slakteri AB</t>
  </si>
  <si>
    <t>Skara Lammslakteri AB</t>
  </si>
  <si>
    <t>Sörgården Gårdsbutik&amp;slakteri</t>
  </si>
  <si>
    <t>Tavastboda gårdsslakteri AB</t>
  </si>
  <si>
    <t>Vikbolands Kött</t>
  </si>
  <si>
    <t>Öströö Fårfarm AB</t>
  </si>
  <si>
    <t>Tabellen visar 25 av de 58 slakterier som har slaktat får och lamm under 2024. Källa: Jordbruksverket</t>
  </si>
  <si>
    <t>Ingående kategorier: Samtliga får och lamm</t>
  </si>
  <si>
    <t>Antal slaktade hästar, uppdaterad kvartal 4 2024</t>
  </si>
  <si>
    <t>Tabellen visar 8 av de 13 slakterier som har slaktat hästar under 2024. Källa: Jordbruksverket</t>
  </si>
  <si>
    <t>Ingående kategorier: Samtliga hästar</t>
  </si>
  <si>
    <t>Godkänd slakt, antal djur per år</t>
  </si>
  <si>
    <t>År</t>
  </si>
  <si>
    <t>Svin</t>
  </si>
  <si>
    <t>Storboskap</t>
  </si>
  <si>
    <t>Kalv</t>
  </si>
  <si>
    <t>Får</t>
  </si>
  <si>
    <t>Get</t>
  </si>
  <si>
    <t>Häst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</si>
</sst>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\+0%;\-0%"/>
    <numFmt numFmtId="166" formatCode="#,#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0" fillId="0" borderId="0" xfId="0" applyFont="1" applyFill="1"/>
    <xf numFmtId="3" fontId="0" fillId="0" borderId="0" xfId="0" applyNumberFormat="1" applyFont="1" applyFill="1"/>
    <xf numFmtId="3" fontId="0" fillId="3" borderId="0" xfId="0" applyNumberFormat="1" applyFont="1" applyFill="1"/>
    <xf numFmtId="3" fontId="0" fillId="4" borderId="0" xfId="0" applyNumberFormat="1" applyFont="1" applyFill="1"/>
    <xf numFmtId="165" fontId="0" fillId="0" borderId="0" xfId="0" applyNumberFormat="1" applyFont="1" applyFill="1" applyAlignment="1">
      <alignment horizontal="right"/>
    </xf>
    <xf numFmtId="9" fontId="0" fillId="0" borderId="0" xfId="0" applyNumberFormat="1" applyFont="1" applyFill="1"/>
    <xf numFmtId="166" fontId="3" fillId="0" borderId="0" xfId="0" applyNumberFormat="1" applyFont="1"/>
    <xf numFmtId="3" fontId="0" fillId="0" borderId="0" xfId="0" applyNumberFormat="1"/>
    <xf numFmtId="165" fontId="0" fillId="0" borderId="0" xfId="0" applyNumberFormat="1"/>
    <xf numFmtId="9" fontId="0" fillId="0" borderId="0" xfId="0" applyNumberFormat="1"/>
    <xf numFmtId="3" fontId="0" fillId="0" borderId="0" xfId="0" applyNumberFormat="1" applyFont="1"/>
    <xf numFmtId="3" fontId="0" fillId="4" borderId="0" xfId="0" applyNumberFormat="1" applyFill="1"/>
    <xf numFmtId="165" fontId="0" fillId="0" borderId="0" xfId="0" applyNumberFormat="1" applyFon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/>
  </cellXfs>
  <cellStyles count="2">
    <cellStyle name="Normal" xfId="0" builtinId="0"/>
    <cellStyle name="Procent" xfId="1" builtinId="5"/>
  </cellStyles>
  <dxfs count="20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left/>
        <right/>
        <top style="thin">
          <color theme="9" tint="0.59996337778862885"/>
        </top>
        <bottom style="thin">
          <color theme="9" tint="0.59996337778862885"/>
        </bottom>
        <vertical/>
        <horizontal style="thin">
          <color theme="9" tint="0.59996337778862885"/>
        </horizontal>
      </border>
    </dxf>
    <dxf>
      <fill>
        <patternFill>
          <bgColor theme="9" tint="0.79998168889431442"/>
        </patternFill>
      </fill>
      <border diagonalUp="0" diagonalDown="0">
        <left/>
        <right/>
        <top style="thin">
          <color theme="9" tint="0.59996337778862885"/>
        </top>
        <bottom style="thin">
          <color theme="9" tint="0.59996337778862885"/>
        </bottom>
        <vertical/>
        <horizontal style="thin">
          <color theme="9" tint="0.59996337778862885"/>
        </horizontal>
      </border>
    </dxf>
    <dxf>
      <font>
        <b/>
        <color theme="1"/>
      </font>
      <border>
        <right/>
      </border>
    </dxf>
    <dxf>
      <font>
        <b/>
        <color theme="1"/>
      </font>
    </dxf>
    <dxf>
      <font>
        <b/>
        <color theme="1"/>
      </font>
      <border>
        <left/>
        <right/>
        <top style="double">
          <color auto="1"/>
        </top>
        <bottom style="medium">
          <color auto="1"/>
        </bottom>
        <vertical/>
      </border>
    </dxf>
    <dxf>
      <font>
        <b/>
        <color theme="1"/>
      </font>
      <border>
        <left/>
        <right/>
        <top style="medium">
          <color auto="1"/>
        </top>
        <bottom style="medium">
          <color auto="1"/>
        </bottom>
        <vertical/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Light16">
    <tableStyle name="Kvartalsstatistik" pivot="0" count="9" xr9:uid="{00000000-0011-0000-FFFF-FFFF00000000}">
      <tableStyleElement type="wholeTable" dxfId="200"/>
      <tableStyleElement type="headerRow" dxfId="199"/>
      <tableStyleElement type="totalRow" dxfId="198"/>
      <tableStyleElement type="firstColumn" dxfId="197"/>
      <tableStyleElement type="lastColumn" dxfId="196"/>
      <tableStyleElement type="firstRowStripe" dxfId="195"/>
      <tableStyleElement type="secondRowStripe" dxfId="194"/>
      <tableStyleElement type="firstColumnStripe" dxfId="193"/>
      <tableStyleElement type="secondColumnStripe" dxfId="1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vartalsstatistik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DAWA-underlag"/>
      <sheetName val="Urval"/>
      <sheetName val="Äldre underlag"/>
      <sheetName val="Gris"/>
      <sheetName val="Storboskap"/>
      <sheetName val="Kalv"/>
      <sheetName val="Får och lamm"/>
      <sheetName val="Get"/>
      <sheetName val="Häst"/>
      <sheetName val="Årshistorik"/>
      <sheetName val="Diagram"/>
    </sheetNames>
    <sheetDataSet>
      <sheetData sheetId="0">
        <row r="12">
          <cell r="K12" t="str">
            <v>Medger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3FE6F9-E89F-4F38-8806-1A869E2D0604}" name="Tabell_Gris" displayName="Tabell_Gris" ref="A2:R19" totalsRowCount="1">
  <autoFilter ref="A2:R1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8017C7B-FCC0-45D5-A5B4-DAD86E2A730F}" name="Anläggning" totalsRowLabel="Total svensk slakt" dataDxfId="191"/>
    <tableColumn id="19" xr3:uid="{0FC182C6-A605-42E2-9BDF-6BEF8BCC5DAC}" name="2019" totalsRowFunction="sum" dataDxfId="189" totalsRowDxfId="190"/>
    <tableColumn id="20" xr3:uid="{9AEDEC92-5EF2-4FC2-A099-05A5AC5CC893}" name="2020" totalsRowFunction="sum" dataDxfId="187" totalsRowDxfId="188"/>
    <tableColumn id="21" xr3:uid="{A973B721-9447-47D8-9AAB-16DAC256FA2D}" name="2021" totalsRowFunction="sum" dataDxfId="185" totalsRowDxfId="186"/>
    <tableColumn id="22" xr3:uid="{41E61990-E320-4AF4-8362-EB2463BE206F}" name="2022" totalsRowFunction="sum" dataDxfId="183" totalsRowDxfId="184"/>
    <tableColumn id="2" xr3:uid="{72FFFDDA-63D4-4AA5-9803-2D6AA8CC1E5D}" name="Kvartal 1 2023" totalsRowFunction="sum" dataDxfId="181" totalsRowDxfId="182"/>
    <tableColumn id="3" xr3:uid="{6A4F05B5-5E37-4DC4-AB87-8B49148BB6D3}" name="Kvartal 2 2023" totalsRowFunction="sum" dataDxfId="179" totalsRowDxfId="180"/>
    <tableColumn id="4" xr3:uid="{1BD1D551-8AD3-4704-950B-757442F4CCFC}" name="Kvartal 3 2023" totalsRowFunction="sum" dataDxfId="177" totalsRowDxfId="178"/>
    <tableColumn id="5" xr3:uid="{D4F62233-24E1-4626-91DC-F027947E6C1C}" name="Kvartal 4 2023" totalsRowFunction="sum" dataDxfId="175" totalsRowDxfId="176"/>
    <tableColumn id="6" xr3:uid="{CDD3FB76-A774-4459-8098-C5DCFF1EFF74}" name="2023" totalsRowFunction="sum" dataDxfId="173" totalsRowDxfId="174"/>
    <tableColumn id="7" xr3:uid="{DAE1CBA4-9B4F-4627-8993-780FC9C249A8}" name="Kvartal 1 2024" totalsRowFunction="sum" dataDxfId="171" totalsRowDxfId="172"/>
    <tableColumn id="8" xr3:uid="{417996F9-0E7D-4212-B806-A7E8CECC77A9}" name="Kvartal 2 2024" totalsRowFunction="sum" dataDxfId="169" totalsRowDxfId="170"/>
    <tableColumn id="9" xr3:uid="{B9F85B15-AA29-45F0-877C-649B40552B38}" name="Kvartal 3 2024" totalsRowFunction="sum" dataDxfId="167" totalsRowDxfId="168"/>
    <tableColumn id="10" xr3:uid="{BE0A56F0-4B80-4F2E-893E-367842565AA0}" name="Kvartal 4 2024" totalsRowFunction="sum" dataDxfId="165" totalsRowDxfId="166"/>
    <tableColumn id="11" xr3:uid="{D45A8D5A-B301-49A2-9C0D-03C20FBCE2EF}" name="2024" totalsRowFunction="sum" dataDxfId="163" totalsRowDxfId="164"/>
    <tableColumn id="12" xr3:uid="{FC294C73-4894-46A7-8A27-C4BF1176FBE2}" name="Förändring kv 4 från 2023-2024" totalsRowFunction="custom" dataDxfId="161" totalsRowDxfId="162">
      <totalsRowFormula>N19/I19-1</totalsRowFormula>
    </tableColumn>
    <tableColumn id="13" xr3:uid="{4A1FE1EC-5E6C-4929-9153-C8017B2721FB}" name="Förändring kv 1-4 från 2023–2024" totalsRowFunction="custom" dataDxfId="159" totalsRowDxfId="160">
      <totalsRowFormula>O19/SUM(F19:I19)-1</totalsRowFormula>
    </tableColumn>
    <tableColumn id="14" xr3:uid="{FE6B62FA-2B3E-4FC6-BFDD-3A184317BFC2}" name="Procentuell andel 2024*" totalsRowFunction="sum" dataDxfId="157" totalsRowDxfId="158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grisar" altTextSummary="Tabellen visar de större slakterierna kvartalsvis i år och förra året samt årsvis ytterligare fyra år tillbak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A466F2-75F8-4BED-9586-EE566E6C2C74}" name="Tabell_Storb" displayName="Tabell_Storb" ref="A2:R29" totalsRowCount="1" headerRowDxfId="156" totalsRowDxfId="155">
  <autoFilter ref="A2:R28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B64A4A81-87D7-4CFA-87BD-679390FF70E9}" name="Anläggning" totalsRowLabel="Total svensk slakt" dataDxfId="154"/>
    <tableColumn id="19" xr3:uid="{A5ED4E6E-1219-4702-80F0-6E89AD753ECF}" name="2019" totalsRowFunction="sum" dataDxfId="152" totalsRowDxfId="153"/>
    <tableColumn id="20" xr3:uid="{F6A781C5-317D-492D-A979-F9D72F53E3B7}" name="2020" totalsRowFunction="sum" dataDxfId="150" totalsRowDxfId="151"/>
    <tableColumn id="21" xr3:uid="{12505235-8BFD-4C30-A66E-30C4FCB61CC1}" name="2021" totalsRowFunction="sum" dataDxfId="148" totalsRowDxfId="149"/>
    <tableColumn id="22" xr3:uid="{01C7F2A5-06B0-441C-8988-2A28C2B12AD2}" name="2022" totalsRowFunction="sum" dataDxfId="146" totalsRowDxfId="147"/>
    <tableColumn id="2" xr3:uid="{525C05E4-AFDF-4589-924F-8006743E41F9}" name="Kvartal 1 2023" totalsRowFunction="sum" dataDxfId="144" totalsRowDxfId="145"/>
    <tableColumn id="3" xr3:uid="{9F3C1CD0-2D55-4EF5-89E3-CEF4287831AB}" name="Kvartal 2 2023" totalsRowFunction="sum" dataDxfId="142" totalsRowDxfId="143"/>
    <tableColumn id="4" xr3:uid="{47383241-FF21-4419-A1F8-FB646CF4151C}" name="Kvartal 3 2023" totalsRowFunction="sum" dataDxfId="140" totalsRowDxfId="141"/>
    <tableColumn id="5" xr3:uid="{05E93B73-7016-450C-A2B2-BB0033E70C0E}" name="Kvartal 4 2023" totalsRowFunction="sum" dataDxfId="138" totalsRowDxfId="139"/>
    <tableColumn id="6" xr3:uid="{5F6F0063-1D9E-424C-970B-9F0297C482D7}" name="2023" totalsRowFunction="sum" dataDxfId="136" totalsRowDxfId="137"/>
    <tableColumn id="7" xr3:uid="{FB16032C-2BC6-4489-9C6C-8BAB9FB00091}" name="Kvartal 1 2024" totalsRowFunction="sum" dataDxfId="134" totalsRowDxfId="135"/>
    <tableColumn id="8" xr3:uid="{C9FD84DA-4ADC-4DDC-A669-3884BED7AC62}" name="Kvartal 2 2024" totalsRowFunction="sum" dataDxfId="132" totalsRowDxfId="133"/>
    <tableColumn id="9" xr3:uid="{AFCD53C6-12C3-4F30-B9FD-FD0836C5EB8A}" name="Kvartal 3 2024" totalsRowFunction="sum" dataDxfId="130" totalsRowDxfId="131"/>
    <tableColumn id="10" xr3:uid="{E02445BD-6444-4B3C-A486-A65052035A63}" name="Kvartal 4 2024" totalsRowFunction="sum" dataDxfId="128" totalsRowDxfId="129"/>
    <tableColumn id="11" xr3:uid="{57A709F8-541F-4877-A4AA-5C97CBF958AD}" name="2024" totalsRowFunction="sum" dataDxfId="126" totalsRowDxfId="127"/>
    <tableColumn id="12" xr3:uid="{A8A7BFCE-D553-4DF4-BDC5-44C03C09A76F}" name="Förändring kv 4 från 2023-2024" totalsRowFunction="custom" dataDxfId="124" totalsRowDxfId="125">
      <totalsRowFormula>N29/I29-1</totalsRowFormula>
    </tableColumn>
    <tableColumn id="13" xr3:uid="{3A62AA7C-B4FE-42CA-81CE-E467123B9CF7}" name="Förändring kv 1-4 från 2023–2024" totalsRowFunction="custom" dataDxfId="122" totalsRowDxfId="123">
      <totalsRowFormula>O29/SUM(F29:I29)-1</totalsRowFormula>
    </tableColumn>
    <tableColumn id="14" xr3:uid="{315A5BF8-4BAF-46C9-B8D0-4EB99F3FDDA7}" name="Procentuell andel 2024*" totalsRowFunction="sum" dataDxfId="120" totalsRowDxfId="121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et slaktade storboskap" altTextSummary="Tabellen visar de större slakterierna kvartalsvis i år och förra året samt årsvis ytterligare fyra år tillbak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154234-5702-4D2E-9711-ACC1618A8644}" name="Tabell_Kalv" displayName="Tabell_Kalv" ref="A2:R24" totalsRowCount="1" headerRowDxfId="119" dataDxfId="118" totalsRowDxfId="117">
  <autoFilter ref="A2:R23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0F940A6-D544-4580-A707-2C9D5D95F3A2}" name="Anläggning" totalsRowLabel="Total svensk slakt" dataDxfId="116"/>
    <tableColumn id="19" xr3:uid="{77DA7FF6-2F63-4A7D-A69E-474D7058338F}" name="2019" totalsRowFunction="sum" dataDxfId="114" totalsRowDxfId="115"/>
    <tableColumn id="20" xr3:uid="{71C93E4D-850A-4547-86FD-AF8F5E420340}" name="2020" totalsRowFunction="sum" dataDxfId="112" totalsRowDxfId="113"/>
    <tableColumn id="21" xr3:uid="{ABF15E21-F778-40FB-B062-194971EF592C}" name="2021" totalsRowFunction="sum" dataDxfId="110" totalsRowDxfId="111"/>
    <tableColumn id="22" xr3:uid="{FA5B01ED-1F03-4669-92D1-CBEF1339B028}" name="2022" totalsRowFunction="sum" dataDxfId="108" totalsRowDxfId="109"/>
    <tableColumn id="2" xr3:uid="{289DE621-AB9E-4F73-B0DD-F493FC0EC6F0}" name="Kvartal 1 2023" totalsRowFunction="sum" dataDxfId="106" totalsRowDxfId="107"/>
    <tableColumn id="3" xr3:uid="{DEDD45FE-E374-4FE3-8ED7-0D86BB8036A2}" name="Kvartal 2 2023" totalsRowFunction="sum" dataDxfId="104" totalsRowDxfId="105"/>
    <tableColumn id="4" xr3:uid="{EFBF5E68-F175-4065-82FC-0F72F3A8BDB7}" name="Kvartal 3 2023" totalsRowFunction="sum" dataDxfId="102" totalsRowDxfId="103"/>
    <tableColumn id="5" xr3:uid="{B9DE7F24-795F-4F06-8E1A-679A04D20BB8}" name="Kvartal 4 2023" totalsRowFunction="sum" dataDxfId="100" totalsRowDxfId="101"/>
    <tableColumn id="6" xr3:uid="{C5029474-7DD0-45BD-AD36-34A4C7F5A475}" name="2023" totalsRowFunction="sum" dataDxfId="98" totalsRowDxfId="99"/>
    <tableColumn id="7" xr3:uid="{2161A211-1FD5-46AD-923B-1BEA4093EF83}" name="Kvartal 1 2024" totalsRowFunction="sum" dataDxfId="96" totalsRowDxfId="97"/>
    <tableColumn id="8" xr3:uid="{ECC36AB2-5A5B-47A1-9B01-EE7ED08A4A8E}" name="Kvartal 2 2024" totalsRowFunction="sum" dataDxfId="94" totalsRowDxfId="95"/>
    <tableColumn id="9" xr3:uid="{A0587382-1B7D-48D2-B46F-DC59C9F159E3}" name="Kvartal 3 2024" totalsRowFunction="sum" dataDxfId="92" totalsRowDxfId="93"/>
    <tableColumn id="10" xr3:uid="{9084497E-2F18-4304-917E-86AD858DF5DD}" name="Kvartal 4 2024" totalsRowFunction="sum" dataDxfId="90" totalsRowDxfId="91"/>
    <tableColumn id="11" xr3:uid="{C9D861FD-56F9-4CDE-ABD1-EA95BC18ED37}" name="2024" totalsRowFunction="sum" dataDxfId="88" totalsRowDxfId="89"/>
    <tableColumn id="12" xr3:uid="{C7609ED4-6730-4DBA-913D-90B50FE596F7}" name="Förändring kv 4 från 2023-2024" totalsRowFunction="custom" dataDxfId="86" totalsRowDxfId="87">
      <totalsRowFormula>N24/I24-1</totalsRowFormula>
    </tableColumn>
    <tableColumn id="13" xr3:uid="{0430B348-5C6B-4DB5-928F-88F61288093A}" name="Förändring kv 1-4 från 2023–2024" totalsRowFunction="custom" dataDxfId="84" totalsRowDxfId="85">
      <totalsRowFormula>O24/SUM(F24:I24)-1</totalsRowFormula>
    </tableColumn>
    <tableColumn id="14" xr3:uid="{718AD8FB-7C2E-443D-903D-02F3AA03657D}" name="Procentuell andel 2024*" totalsRowFunction="sum" dataDxfId="82" totalsRowDxfId="83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kalvar" altTextSummary="Tabellen visar de större slakterierna kvartalsvis i år och förra året samt årsvis ytterligare fyra år tillbaka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985F3D-22FA-4DA2-B0B1-11728357926E}" name="Tabell_Får" displayName="Tabell_Får" ref="A2:R29" totalsRowCount="1" headerRowDxfId="81" totalsRowDxfId="80">
  <autoFilter ref="A2:R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9EA894C8-39D5-4563-9527-EA95A7A117BE}" name="Anläggning" totalsRowLabel="Total svensk slakt" dataDxfId="79"/>
    <tableColumn id="19" xr3:uid="{961DC206-4828-47B2-AD32-DBE4FC31C492}" name="2019" totalsRowFunction="sum" dataDxfId="77" totalsRowDxfId="78"/>
    <tableColumn id="20" xr3:uid="{ABB0F6E9-6C26-43AA-B054-5AE82E986F8D}" name="2020" totalsRowFunction="sum" dataDxfId="75" totalsRowDxfId="76"/>
    <tableColumn id="21" xr3:uid="{CF1FE222-DE70-4E3D-A5FB-0ADB43B19234}" name="2021" totalsRowFunction="sum" dataDxfId="73" totalsRowDxfId="74"/>
    <tableColumn id="22" xr3:uid="{48174BA3-16C2-46AC-B608-D23C53984FE3}" name="2022" totalsRowFunction="sum" dataDxfId="71" totalsRowDxfId="72"/>
    <tableColumn id="2" xr3:uid="{2E141776-B232-479E-B481-52828396D862}" name="Kvartal 1 2023" totalsRowFunction="sum" dataDxfId="69" totalsRowDxfId="70"/>
    <tableColumn id="3" xr3:uid="{75E2BD3A-E134-4B9C-BE92-4C109EFF5555}" name="Kvartal 2 2023" totalsRowFunction="sum" dataDxfId="67" totalsRowDxfId="68"/>
    <tableColumn id="4" xr3:uid="{A26B6DF3-403D-4584-A90D-BBAAB35CD0ED}" name="Kvartal 3 2023" totalsRowFunction="sum" dataDxfId="65" totalsRowDxfId="66"/>
    <tableColumn id="5" xr3:uid="{074966CE-716F-4D4F-9E4F-676A73718801}" name="Kvartal 4 2023" totalsRowFunction="sum" dataDxfId="63" totalsRowDxfId="64"/>
    <tableColumn id="6" xr3:uid="{FD452920-8742-4AC1-BE78-A2114D7273A2}" name="2023" totalsRowFunction="sum" dataDxfId="61" totalsRowDxfId="62"/>
    <tableColumn id="7" xr3:uid="{24F73F1E-B522-4839-845D-AE2A983AA160}" name="Kvartal 1 2024" totalsRowFunction="sum" dataDxfId="59" totalsRowDxfId="60"/>
    <tableColumn id="8" xr3:uid="{562B7503-4C33-40DB-B166-E9F3E81DC2D7}" name="Kvartal 2 2024" totalsRowFunction="sum" dataDxfId="57" totalsRowDxfId="58"/>
    <tableColumn id="9" xr3:uid="{171102AD-3C73-4437-87DF-1156461F0095}" name="Kvartal 3 2024" totalsRowFunction="sum" dataDxfId="55" totalsRowDxfId="56"/>
    <tableColumn id="10" xr3:uid="{4CBEE100-A1B9-4BC6-94DE-80DEBD93E36F}" name="Kvartal 4 2024" totalsRowFunction="sum" dataDxfId="53" totalsRowDxfId="54"/>
    <tableColumn id="11" xr3:uid="{CD700FE4-AF39-4761-9EED-7166475711A2}" name="2024" totalsRowFunction="sum" dataDxfId="51" totalsRowDxfId="52"/>
    <tableColumn id="12" xr3:uid="{DCCB65C4-B026-4DE2-95BC-29AAB1FAD656}" name="Förändring kv 4 från 2023-2024" totalsRowFunction="custom" dataDxfId="49" totalsRowDxfId="50">
      <totalsRowFormula>N29/I29-1</totalsRowFormula>
    </tableColumn>
    <tableColumn id="13" xr3:uid="{E026B934-1C57-4947-8352-F2A3EF72C4EB}" name="Förändring kv 1-4 från 2023–2024" totalsRowFunction="custom" dataDxfId="47" totalsRowDxfId="48">
      <totalsRowFormula>O29/SUM(F29:I29)-1</totalsRowFormula>
    </tableColumn>
    <tableColumn id="14" xr3:uid="{14A294B7-B8A0-4605-978D-8A047FB7DCE8}" name="Procentuell andel 2024*" totalsRowFunction="sum" dataDxfId="45" totalsRowDxfId="46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får och lamm" altTextSummary="Tabellen visar de större slakterierna kvartalsvis i år och förra året samt årsvis ytterligare fyra år tillbaka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010C74-3DC6-427D-B938-5D17D5352B03}" name="Tabell_Häst" displayName="Tabell_Häst" ref="A2:R12" totalsRowCount="1" headerRowDxfId="44" dataDxfId="43" totalsRowDxfId="42">
  <autoFilter ref="A2:R1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1FC31DB-5E6B-4401-8289-A1D62398228C}" name="Anläggning" totalsRowLabel="Total svensk slakt" dataDxfId="41"/>
    <tableColumn id="19" xr3:uid="{88856EAA-EB6C-4F3D-B25F-90D1174B2F5E}" name="2019" totalsRowFunction="sum" dataDxfId="39" totalsRowDxfId="40"/>
    <tableColumn id="20" xr3:uid="{4E154979-4965-4163-B0B4-F7D1C1722C5D}" name="2020" totalsRowFunction="sum" dataDxfId="37" totalsRowDxfId="38"/>
    <tableColumn id="21" xr3:uid="{9A68CE40-27DD-4283-8C29-566157A690C8}" name="2021" totalsRowFunction="sum" dataDxfId="35" totalsRowDxfId="36"/>
    <tableColumn id="22" xr3:uid="{62B2D578-449C-4EF6-864A-FEA484530BC5}" name="2022" totalsRowFunction="sum" dataDxfId="33" totalsRowDxfId="34"/>
    <tableColumn id="2" xr3:uid="{38F37343-D86E-4D9E-8F0C-56AA7DAFCB52}" name="Kvartal 1 2023" totalsRowFunction="sum" dataDxfId="31" totalsRowDxfId="32"/>
    <tableColumn id="3" xr3:uid="{50FD4A92-CBA8-4C13-BBE2-A8D5CABDD932}" name="Kvartal 2 2023" totalsRowFunction="sum" dataDxfId="29" totalsRowDxfId="30"/>
    <tableColumn id="4" xr3:uid="{63F02BA0-BCAF-4DD2-83C3-A1629BCDA03F}" name="Kvartal 3 2023" totalsRowFunction="sum" dataDxfId="27" totalsRowDxfId="28"/>
    <tableColumn id="5" xr3:uid="{3FE7240C-F4BD-4A28-8591-B21200A762FD}" name="Kvartal 4 2023" totalsRowFunction="sum" dataDxfId="25" totalsRowDxfId="26"/>
    <tableColumn id="6" xr3:uid="{84F50EAE-19F2-4E71-A989-75B87DE7736A}" name="2023" totalsRowFunction="sum" dataDxfId="23" totalsRowDxfId="24"/>
    <tableColumn id="7" xr3:uid="{4F97D311-C615-43F2-96C1-294B422B3405}" name="Kvartal 1 2024" totalsRowFunction="sum" dataDxfId="21" totalsRowDxfId="22"/>
    <tableColumn id="8" xr3:uid="{138747D6-D877-4EA5-94B1-F0A98082FCF2}" name="Kvartal 2 2024" totalsRowFunction="sum" dataDxfId="19" totalsRowDxfId="20"/>
    <tableColumn id="9" xr3:uid="{BD1B3E50-4A6A-4A72-906B-A18921C3D2B6}" name="Kvartal 3 2024" totalsRowFunction="sum" dataDxfId="17" totalsRowDxfId="18"/>
    <tableColumn id="10" xr3:uid="{8DE5337C-E890-44A9-84D7-4046ABCD7C54}" name="Kvartal 4 2024" totalsRowFunction="sum" dataDxfId="15" totalsRowDxfId="16"/>
    <tableColumn id="11" xr3:uid="{254932AE-E048-49C5-AA78-EB21802DAC88}" name="2024" totalsRowFunction="sum" dataDxfId="13" totalsRowDxfId="14"/>
    <tableColumn id="12" xr3:uid="{39E62C31-F9B0-4E65-A4E4-021222C327A2}" name="Förändring kv 4 från 2023-2024" totalsRowFunction="custom" dataDxfId="11" totalsRowDxfId="12">
      <totalsRowFormula>N12/I12-1</totalsRowFormula>
    </tableColumn>
    <tableColumn id="13" xr3:uid="{1A79EA80-2969-4311-90E2-DBA4F8A483C1}" name="Förändring kv 1-4 från 2023–2024" totalsRowFunction="custom" dataDxfId="9" totalsRowDxfId="10">
      <totalsRowFormula>O12/SUM(F12:I12)-1</totalsRowFormula>
    </tableColumn>
    <tableColumn id="14" xr3:uid="{1D4099C9-0009-446F-8154-C32069065D4C}" name="Procentuell andel 2024*" totalsRowFunction="sum" dataDxfId="7" totalsRowDxfId="8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får och lamm" altTextSummary="Tabellen visar de större slakterierna kvartalsvis i år och förra året samt årsvis ytterligare fyra år tillbaka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6BFBB51-6047-4CEF-8564-AAB0FCC35D9F}" name="Tabell_Årshistorik" displayName="Tabell_Årshistorik" ref="A2:G26" totalsRowShown="0">
  <autoFilter ref="A2:G26" xr:uid="{D4AD92F7-E702-42E6-963F-C7916247EA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A3:G16">
    <sortCondition descending="1" ref="A5"/>
  </sortState>
  <tableColumns count="7">
    <tableColumn id="1" xr3:uid="{D3C50E54-1699-4206-8017-E63AB4CEA831}" name="År" dataDxfId="6"/>
    <tableColumn id="2" xr3:uid="{818F286A-9F22-4904-9AA7-69F996C4EF4D}" name="Svin" dataDxfId="5"/>
    <tableColumn id="3" xr3:uid="{16B07BC6-8273-474F-861A-5F258370E35A}" name="Storboskap" dataDxfId="4"/>
    <tableColumn id="4" xr3:uid="{D5A83A50-0EBD-48CD-BBCB-7820DC9DFE9A}" name="Kalv" dataDxfId="3"/>
    <tableColumn id="5" xr3:uid="{8D7DE9DA-1F38-42E7-ABB0-B24D26709135}" name="Får" dataDxfId="2"/>
    <tableColumn id="6" xr3:uid="{991C994F-B5B8-4CCA-AA76-F8BE78746D71}" name="Get" dataDxfId="1"/>
    <tableColumn id="7" xr3:uid="{249CA187-46C5-4832-92B7-B2EA74505FF2}" name="Häst" dataDxfId="0"/>
  </tableColumns>
  <tableStyleInfo name="Kvartalsstatistik" showFirstColumn="1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69C2-AF95-4AC6-B6F0-871643E15BFD}">
  <sheetPr codeName="flSvin">
    <pageSetUpPr fitToPage="1"/>
  </sheetPr>
  <dimension ref="A1:S6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27" customWidth="1"/>
    <col min="2" max="2" width="8.85546875" bestFit="1" customWidth="1"/>
    <col min="3" max="3" width="9.42578125" customWidth="1"/>
    <col min="4" max="4" width="9.28515625" customWidth="1"/>
    <col min="5" max="5" width="9.140625" customWidth="1"/>
    <col min="6" max="9" width="8.28515625" customWidth="1"/>
    <col min="10" max="10" width="8.7109375" customWidth="1"/>
    <col min="11" max="14" width="8.28515625" customWidth="1"/>
    <col min="15" max="15" width="9.140625" customWidth="1"/>
    <col min="16" max="16" width="10.7109375" customWidth="1"/>
    <col min="17" max="17" width="11.28515625" customWidth="1"/>
    <col min="18" max="18" width="11.5703125" customWidth="1"/>
  </cols>
  <sheetData>
    <row r="1" spans="1:19" ht="92.25" customHeight="1" x14ac:dyDescent="0.25">
      <c r="A1" s="1" t="s">
        <v>0</v>
      </c>
      <c r="J1" s="1"/>
      <c r="R1" s="2"/>
    </row>
    <row r="2" spans="1:19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  <c r="S2" s="8"/>
    </row>
    <row r="3" spans="1:19" ht="15" customHeight="1" x14ac:dyDescent="0.25">
      <c r="A3" s="9" t="s">
        <v>19</v>
      </c>
      <c r="B3" s="10">
        <v>78675</v>
      </c>
      <c r="C3" s="10">
        <v>78626</v>
      </c>
      <c r="D3" s="10">
        <v>75524</v>
      </c>
      <c r="E3" s="10">
        <v>67029</v>
      </c>
      <c r="F3" s="11">
        <v>15497</v>
      </c>
      <c r="G3" s="11">
        <v>12618</v>
      </c>
      <c r="H3" s="11">
        <v>12134</v>
      </c>
      <c r="I3" s="11">
        <v>11987</v>
      </c>
      <c r="J3" s="10">
        <v>52236</v>
      </c>
      <c r="K3" s="12">
        <v>12964</v>
      </c>
      <c r="L3" s="12">
        <v>12255</v>
      </c>
      <c r="M3" s="12">
        <v>12959</v>
      </c>
      <c r="N3" s="12">
        <v>11859</v>
      </c>
      <c r="O3" s="10">
        <v>50037</v>
      </c>
      <c r="P3" s="13">
        <v>-1.0678234754317173E-2</v>
      </c>
      <c r="Q3" s="13">
        <v>-4.2097404089133983E-2</v>
      </c>
      <c r="R3" s="14">
        <v>1.9421828276523796E-2</v>
      </c>
      <c r="S3" s="15"/>
    </row>
    <row r="4" spans="1:19" ht="15" customHeight="1" x14ac:dyDescent="0.25">
      <c r="A4" s="9" t="s">
        <v>20</v>
      </c>
      <c r="B4" s="10">
        <v>45584</v>
      </c>
      <c r="C4" s="10">
        <v>50345</v>
      </c>
      <c r="D4" s="10">
        <v>52910</v>
      </c>
      <c r="E4" s="10">
        <v>51544</v>
      </c>
      <c r="F4" s="11">
        <v>13451</v>
      </c>
      <c r="G4" s="11">
        <v>12570</v>
      </c>
      <c r="H4" s="11">
        <v>12713</v>
      </c>
      <c r="I4" s="11">
        <v>12770</v>
      </c>
      <c r="J4" s="10">
        <v>51504</v>
      </c>
      <c r="K4" s="12">
        <v>13792</v>
      </c>
      <c r="L4" s="12">
        <v>12265</v>
      </c>
      <c r="M4" s="12">
        <v>12135</v>
      </c>
      <c r="N4" s="12">
        <v>12444</v>
      </c>
      <c r="O4" s="10">
        <v>50636</v>
      </c>
      <c r="P4" s="13">
        <v>-2.5528582615505058E-2</v>
      </c>
      <c r="Q4" s="13">
        <v>-1.685305995650821E-2</v>
      </c>
      <c r="R4" s="14">
        <v>1.9654329728202309E-2</v>
      </c>
    </row>
    <row r="5" spans="1:19" ht="15" customHeight="1" x14ac:dyDescent="0.25">
      <c r="A5" s="9" t="s">
        <v>21</v>
      </c>
      <c r="B5" s="10">
        <v>2360</v>
      </c>
      <c r="C5" s="10">
        <v>2242</v>
      </c>
      <c r="D5" s="10">
        <v>2179</v>
      </c>
      <c r="E5" s="10">
        <v>2226</v>
      </c>
      <c r="F5" s="11">
        <v>348</v>
      </c>
      <c r="G5" s="11">
        <v>417</v>
      </c>
      <c r="H5" s="11">
        <v>396</v>
      </c>
      <c r="I5" s="11">
        <v>469</v>
      </c>
      <c r="J5" s="10">
        <v>1630</v>
      </c>
      <c r="K5" s="12">
        <v>376</v>
      </c>
      <c r="L5" s="12">
        <v>541</v>
      </c>
      <c r="M5" s="12">
        <v>440</v>
      </c>
      <c r="N5" s="12">
        <v>536</v>
      </c>
      <c r="O5" s="10">
        <v>1893</v>
      </c>
      <c r="P5" s="13">
        <v>0.14285714285714279</v>
      </c>
      <c r="Q5" s="13">
        <v>0.1613496932515337</v>
      </c>
      <c r="R5" s="14">
        <v>7.3476669119770463E-4</v>
      </c>
    </row>
    <row r="6" spans="1:19" ht="15" customHeight="1" x14ac:dyDescent="0.25">
      <c r="A6" s="9" t="s">
        <v>22</v>
      </c>
      <c r="B6" s="10">
        <v>201601</v>
      </c>
      <c r="C6" s="10">
        <v>207876</v>
      </c>
      <c r="D6" s="10">
        <v>204679</v>
      </c>
      <c r="E6" s="10">
        <v>210698</v>
      </c>
      <c r="F6" s="11">
        <v>53445</v>
      </c>
      <c r="G6" s="11">
        <v>51794</v>
      </c>
      <c r="H6" s="11">
        <v>51905</v>
      </c>
      <c r="I6" s="11">
        <v>51124</v>
      </c>
      <c r="J6" s="10">
        <v>208268</v>
      </c>
      <c r="K6" s="12">
        <v>54632</v>
      </c>
      <c r="L6" s="12">
        <v>54412</v>
      </c>
      <c r="M6" s="12">
        <v>53781</v>
      </c>
      <c r="N6" s="12">
        <v>50897</v>
      </c>
      <c r="O6" s="10">
        <v>213722</v>
      </c>
      <c r="P6" s="13">
        <v>-4.4401846490884633E-3</v>
      </c>
      <c r="Q6" s="13">
        <v>2.6187412372520091E-2</v>
      </c>
      <c r="R6" s="14">
        <v>8.2956052179691403E-2</v>
      </c>
    </row>
    <row r="7" spans="1:19" ht="15" customHeight="1" x14ac:dyDescent="0.25">
      <c r="A7" s="9" t="s">
        <v>23</v>
      </c>
      <c r="B7" s="10">
        <v>52434</v>
      </c>
      <c r="C7" s="10">
        <v>47191</v>
      </c>
      <c r="D7" s="10">
        <v>58126</v>
      </c>
      <c r="E7" s="10">
        <v>60953</v>
      </c>
      <c r="F7" s="11">
        <v>14813</v>
      </c>
      <c r="G7" s="11">
        <v>11940</v>
      </c>
      <c r="H7" s="11">
        <v>14694</v>
      </c>
      <c r="I7" s="11">
        <v>15021</v>
      </c>
      <c r="J7" s="10">
        <v>56468</v>
      </c>
      <c r="K7" s="12">
        <v>16031</v>
      </c>
      <c r="L7" s="12">
        <v>14615</v>
      </c>
      <c r="M7" s="12">
        <v>16602</v>
      </c>
      <c r="N7" s="12">
        <v>14503</v>
      </c>
      <c r="O7" s="10">
        <v>61751</v>
      </c>
      <c r="P7" s="13">
        <v>-3.4485054257373027E-2</v>
      </c>
      <c r="Q7" s="13">
        <v>9.3557413048098059E-2</v>
      </c>
      <c r="R7" s="14">
        <v>2.3968609586978055E-2</v>
      </c>
    </row>
    <row r="8" spans="1:19" ht="15" customHeight="1" x14ac:dyDescent="0.25">
      <c r="A8" s="9" t="s">
        <v>24</v>
      </c>
      <c r="B8" s="10">
        <v>385756</v>
      </c>
      <c r="C8" s="10">
        <v>381212</v>
      </c>
      <c r="D8" s="10">
        <v>396781</v>
      </c>
      <c r="E8" s="10">
        <v>399539</v>
      </c>
      <c r="F8" s="11">
        <v>100108</v>
      </c>
      <c r="G8" s="11">
        <v>90713</v>
      </c>
      <c r="H8" s="11">
        <v>96140</v>
      </c>
      <c r="I8" s="11">
        <v>95276</v>
      </c>
      <c r="J8" s="10">
        <v>382237</v>
      </c>
      <c r="K8" s="12">
        <v>99597</v>
      </c>
      <c r="L8" s="12">
        <v>94941</v>
      </c>
      <c r="M8" s="12">
        <v>98948</v>
      </c>
      <c r="N8" s="12">
        <v>97019</v>
      </c>
      <c r="O8" s="10">
        <v>390505</v>
      </c>
      <c r="P8" s="13">
        <v>1.8294218900877457E-2</v>
      </c>
      <c r="Q8" s="13">
        <v>2.1630559051059928E-2</v>
      </c>
      <c r="R8" s="14">
        <v>0.1515742560729845</v>
      </c>
    </row>
    <row r="9" spans="1:19" ht="15" customHeight="1" x14ac:dyDescent="0.25">
      <c r="A9" s="9" t="s">
        <v>25</v>
      </c>
      <c r="B9" s="10">
        <v>422505</v>
      </c>
      <c r="C9" s="10">
        <v>397509</v>
      </c>
      <c r="D9" s="10">
        <v>393976</v>
      </c>
      <c r="E9" s="10">
        <v>399235</v>
      </c>
      <c r="F9" s="11">
        <v>98340</v>
      </c>
      <c r="G9" s="11">
        <v>83405</v>
      </c>
      <c r="H9" s="11">
        <v>92976</v>
      </c>
      <c r="I9" s="11">
        <v>93665</v>
      </c>
      <c r="J9" s="10">
        <v>368386</v>
      </c>
      <c r="K9" s="12">
        <v>99392</v>
      </c>
      <c r="L9" s="12">
        <v>93660</v>
      </c>
      <c r="M9" s="12">
        <v>99755</v>
      </c>
      <c r="N9" s="12">
        <v>96943</v>
      </c>
      <c r="O9" s="10">
        <v>389750</v>
      </c>
      <c r="P9" s="13">
        <v>3.4997064004697487E-2</v>
      </c>
      <c r="Q9" s="13">
        <v>5.7993517668966765E-2</v>
      </c>
      <c r="R9" s="14">
        <v>0.15128120332504247</v>
      </c>
    </row>
    <row r="10" spans="1:19" ht="15" customHeight="1" x14ac:dyDescent="0.25">
      <c r="A10" s="9" t="s">
        <v>26</v>
      </c>
      <c r="B10" s="10">
        <v>432</v>
      </c>
      <c r="C10" s="10">
        <v>4779</v>
      </c>
      <c r="D10" s="10">
        <v>8621</v>
      </c>
      <c r="E10" s="10">
        <v>11356</v>
      </c>
      <c r="F10" s="11">
        <v>2120</v>
      </c>
      <c r="G10" s="11">
        <v>1759</v>
      </c>
      <c r="H10" s="11">
        <v>1442</v>
      </c>
      <c r="I10" s="11">
        <v>1443</v>
      </c>
      <c r="J10" s="10">
        <v>6764</v>
      </c>
      <c r="K10" s="12">
        <v>1395</v>
      </c>
      <c r="L10" s="12">
        <v>535</v>
      </c>
      <c r="M10" s="12"/>
      <c r="N10" s="12"/>
      <c r="O10" s="10">
        <v>1930</v>
      </c>
      <c r="P10" s="13">
        <v>-1</v>
      </c>
      <c r="Q10" s="13">
        <v>-0.71466587817859262</v>
      </c>
      <c r="R10" s="14">
        <v>7.4912821659353938E-4</v>
      </c>
    </row>
    <row r="11" spans="1:19" ht="15" customHeight="1" x14ac:dyDescent="0.25">
      <c r="A11" s="9" t="s">
        <v>27</v>
      </c>
      <c r="B11" s="10">
        <v>237062</v>
      </c>
      <c r="C11" s="10">
        <v>249504</v>
      </c>
      <c r="D11" s="10">
        <v>247645</v>
      </c>
      <c r="E11" s="10">
        <v>244006</v>
      </c>
      <c r="F11" s="11">
        <v>61275</v>
      </c>
      <c r="G11" s="11">
        <v>57049</v>
      </c>
      <c r="H11" s="11">
        <v>58968</v>
      </c>
      <c r="I11" s="11">
        <v>55508</v>
      </c>
      <c r="J11" s="10">
        <v>232800</v>
      </c>
      <c r="K11" s="12">
        <v>60933</v>
      </c>
      <c r="L11" s="12">
        <v>56905</v>
      </c>
      <c r="M11" s="12">
        <v>60685</v>
      </c>
      <c r="N11" s="12">
        <v>57178</v>
      </c>
      <c r="O11" s="10">
        <v>235701</v>
      </c>
      <c r="P11" s="13">
        <v>3.0085753404914595E-2</v>
      </c>
      <c r="Q11" s="13">
        <v>1.2461340206185501E-2</v>
      </c>
      <c r="R11" s="14">
        <v>9.1487186414152238E-2</v>
      </c>
    </row>
    <row r="12" spans="1:19" ht="15" customHeight="1" x14ac:dyDescent="0.25">
      <c r="A12" s="9" t="s">
        <v>28</v>
      </c>
      <c r="B12" s="10">
        <v>10133</v>
      </c>
      <c r="C12" s="10">
        <v>28220</v>
      </c>
      <c r="D12" s="10">
        <v>35961</v>
      </c>
      <c r="E12" s="10">
        <v>39651</v>
      </c>
      <c r="F12" s="11">
        <v>8748</v>
      </c>
      <c r="G12" s="11">
        <v>8523</v>
      </c>
      <c r="H12" s="11">
        <v>9050</v>
      </c>
      <c r="I12" s="11">
        <v>8825</v>
      </c>
      <c r="J12" s="10">
        <v>35146</v>
      </c>
      <c r="K12" s="12">
        <v>8505</v>
      </c>
      <c r="L12" s="12">
        <v>7818</v>
      </c>
      <c r="M12" s="12">
        <v>8010</v>
      </c>
      <c r="N12" s="12">
        <v>7388</v>
      </c>
      <c r="O12" s="10">
        <v>31721</v>
      </c>
      <c r="P12" s="13">
        <v>-0.16283286118980167</v>
      </c>
      <c r="Q12" s="13">
        <v>-9.7450634496102029E-2</v>
      </c>
      <c r="R12" s="14">
        <v>1.2312485056250601E-2</v>
      </c>
    </row>
    <row r="13" spans="1:19" ht="15" customHeight="1" x14ac:dyDescent="0.25">
      <c r="A13" s="9" t="s">
        <v>29</v>
      </c>
      <c r="B13" s="10">
        <v>27241</v>
      </c>
      <c r="C13" s="10">
        <v>31306</v>
      </c>
      <c r="D13" s="10">
        <v>32085</v>
      </c>
      <c r="E13" s="10">
        <v>28556</v>
      </c>
      <c r="F13" s="11">
        <v>6172</v>
      </c>
      <c r="G13" s="11">
        <v>6081</v>
      </c>
      <c r="H13" s="11">
        <v>5435</v>
      </c>
      <c r="I13" s="11">
        <v>6083</v>
      </c>
      <c r="J13" s="10">
        <v>23771</v>
      </c>
      <c r="K13" s="12">
        <v>5983</v>
      </c>
      <c r="L13" s="12">
        <v>5804</v>
      </c>
      <c r="M13" s="12">
        <v>6132</v>
      </c>
      <c r="N13" s="12">
        <v>4613</v>
      </c>
      <c r="O13" s="10">
        <v>22532</v>
      </c>
      <c r="P13" s="13">
        <v>-0.24165707710011508</v>
      </c>
      <c r="Q13" s="13">
        <v>-5.212233393630894E-2</v>
      </c>
      <c r="R13" s="14">
        <v>8.7457808167283047E-3</v>
      </c>
    </row>
    <row r="14" spans="1:19" ht="15" customHeight="1" x14ac:dyDescent="0.25">
      <c r="A14" s="9" t="s">
        <v>30</v>
      </c>
      <c r="B14" s="10">
        <v>67118</v>
      </c>
      <c r="C14" s="10">
        <v>66805</v>
      </c>
      <c r="D14" s="10">
        <v>70437</v>
      </c>
      <c r="E14" s="10">
        <v>68452</v>
      </c>
      <c r="F14" s="11">
        <v>17354</v>
      </c>
      <c r="G14" s="11">
        <v>15672</v>
      </c>
      <c r="H14" s="11">
        <v>15897</v>
      </c>
      <c r="I14" s="11">
        <v>15172</v>
      </c>
      <c r="J14" s="10">
        <v>64095</v>
      </c>
      <c r="K14" s="12">
        <v>16940</v>
      </c>
      <c r="L14" s="12">
        <v>16642</v>
      </c>
      <c r="M14" s="12">
        <v>16048</v>
      </c>
      <c r="N14" s="12">
        <v>15513</v>
      </c>
      <c r="O14" s="10">
        <v>65143</v>
      </c>
      <c r="P14" s="13">
        <v>2.2475612971262882E-2</v>
      </c>
      <c r="Q14" s="13">
        <v>1.6350729386067631E-2</v>
      </c>
      <c r="R14" s="14">
        <v>2.5285212131374576E-2</v>
      </c>
    </row>
    <row r="15" spans="1:19" ht="15" customHeight="1" x14ac:dyDescent="0.25">
      <c r="A15" s="9" t="s">
        <v>31</v>
      </c>
      <c r="B15" s="10">
        <v>2614</v>
      </c>
      <c r="C15" s="10">
        <v>2646</v>
      </c>
      <c r="D15" s="10">
        <v>2365</v>
      </c>
      <c r="E15" s="10">
        <v>2289</v>
      </c>
      <c r="F15" s="11">
        <v>554</v>
      </c>
      <c r="G15" s="11">
        <v>674</v>
      </c>
      <c r="H15" s="11">
        <v>670</v>
      </c>
      <c r="I15" s="11">
        <v>799</v>
      </c>
      <c r="J15" s="10">
        <v>2697</v>
      </c>
      <c r="K15" s="12">
        <v>535</v>
      </c>
      <c r="L15" s="12">
        <v>647</v>
      </c>
      <c r="M15" s="12">
        <v>753</v>
      </c>
      <c r="N15" s="12">
        <v>771</v>
      </c>
      <c r="O15" s="10">
        <v>2706</v>
      </c>
      <c r="P15" s="13">
        <v>-3.5043804755944929E-2</v>
      </c>
      <c r="Q15" s="13">
        <v>3.3370411568409697E-3</v>
      </c>
      <c r="R15" s="14">
        <v>1.0503321005710454E-3</v>
      </c>
    </row>
    <row r="16" spans="1:19" ht="15" customHeight="1" x14ac:dyDescent="0.25">
      <c r="A16" s="9" t="s">
        <v>32</v>
      </c>
      <c r="B16" s="10">
        <v>708054</v>
      </c>
      <c r="C16" s="10">
        <v>689218</v>
      </c>
      <c r="D16" s="10">
        <v>712620</v>
      </c>
      <c r="E16" s="10">
        <v>730029</v>
      </c>
      <c r="F16" s="11">
        <v>196670</v>
      </c>
      <c r="G16" s="11">
        <v>182204</v>
      </c>
      <c r="H16" s="11">
        <v>183819</v>
      </c>
      <c r="I16" s="11">
        <v>175843</v>
      </c>
      <c r="J16" s="10">
        <v>738536</v>
      </c>
      <c r="K16" s="12">
        <v>174618</v>
      </c>
      <c r="L16" s="12">
        <v>172435</v>
      </c>
      <c r="M16" s="12">
        <v>186707</v>
      </c>
      <c r="N16" s="12">
        <v>186157</v>
      </c>
      <c r="O16" s="10">
        <v>719917</v>
      </c>
      <c r="P16" s="13">
        <v>5.8654595292391587E-2</v>
      </c>
      <c r="Q16" s="13">
        <v>-2.5210687089051831E-2</v>
      </c>
      <c r="R16" s="14">
        <v>0.2794353048214358</v>
      </c>
    </row>
    <row r="17" spans="1:18" ht="15" customHeight="1" x14ac:dyDescent="0.25">
      <c r="A17" s="9" t="s">
        <v>33</v>
      </c>
      <c r="B17" s="10">
        <v>287743</v>
      </c>
      <c r="C17" s="10">
        <v>345840</v>
      </c>
      <c r="D17" s="10">
        <v>334384</v>
      </c>
      <c r="E17" s="10">
        <v>340815</v>
      </c>
      <c r="F17" s="11">
        <v>84011</v>
      </c>
      <c r="G17" s="11">
        <v>85566</v>
      </c>
      <c r="H17" s="11">
        <v>84089</v>
      </c>
      <c r="I17" s="11">
        <v>80522</v>
      </c>
      <c r="J17" s="10">
        <v>334188</v>
      </c>
      <c r="K17" s="12">
        <v>83011</v>
      </c>
      <c r="L17" s="12">
        <v>80086</v>
      </c>
      <c r="M17" s="12">
        <v>83893</v>
      </c>
      <c r="N17" s="12">
        <v>82254</v>
      </c>
      <c r="O17" s="10">
        <v>329244</v>
      </c>
      <c r="P17" s="13">
        <v>2.150964953677259E-2</v>
      </c>
      <c r="Q17" s="13">
        <v>-1.4794068009623351E-2</v>
      </c>
      <c r="R17" s="14">
        <v>0.1277958396601675</v>
      </c>
    </row>
    <row r="18" spans="1:18" ht="15" customHeight="1" x14ac:dyDescent="0.25">
      <c r="A18" s="9" t="s">
        <v>34</v>
      </c>
      <c r="B18" s="10">
        <v>38877</v>
      </c>
      <c r="C18" s="10">
        <v>34262</v>
      </c>
      <c r="D18" s="10">
        <v>19554</v>
      </c>
      <c r="E18" s="10">
        <v>12550</v>
      </c>
      <c r="F18" s="11">
        <v>1608</v>
      </c>
      <c r="G18" s="11">
        <v>2610</v>
      </c>
      <c r="H18" s="11">
        <v>2271</v>
      </c>
      <c r="I18" s="11">
        <v>3119</v>
      </c>
      <c r="J18" s="10">
        <v>9608</v>
      </c>
      <c r="K18" s="12">
        <v>1660</v>
      </c>
      <c r="L18" s="12">
        <v>2476</v>
      </c>
      <c r="M18" s="12">
        <v>2119</v>
      </c>
      <c r="N18" s="12">
        <v>2885</v>
      </c>
      <c r="O18" s="10">
        <v>9140</v>
      </c>
      <c r="P18" s="13">
        <v>-7.5024046168643777E-2</v>
      </c>
      <c r="Q18" s="13">
        <v>-4.8709408825978406E-2</v>
      </c>
      <c r="R18" s="14">
        <v>3.5476849221061915E-3</v>
      </c>
    </row>
    <row r="19" spans="1:18" ht="15" customHeight="1" x14ac:dyDescent="0.25">
      <c r="A19" t="s">
        <v>35</v>
      </c>
      <c r="B19" s="16">
        <f>SUBTOTAL(109,Tabell_Gris[2019])</f>
        <v>2568189</v>
      </c>
      <c r="C19" s="16">
        <f>SUBTOTAL(109,Tabell_Gris[2020])</f>
        <v>2617581</v>
      </c>
      <c r="D19" s="16">
        <f>SUBTOTAL(109,Tabell_Gris[2021])</f>
        <v>2647847</v>
      </c>
      <c r="E19" s="16">
        <f>SUBTOTAL(109,Tabell_Gris[2022])</f>
        <v>2668928</v>
      </c>
      <c r="F19" s="16">
        <f>SUBTOTAL(109,Tabell_Gris[Kvartal 1 2023])</f>
        <v>674514</v>
      </c>
      <c r="G19" s="16">
        <f>SUBTOTAL(109,Tabell_Gris[Kvartal 2 2023])</f>
        <v>623595</v>
      </c>
      <c r="H19" s="16">
        <f>SUBTOTAL(109,Tabell_Gris[Kvartal 3 2023])</f>
        <v>642599</v>
      </c>
      <c r="I19" s="16">
        <f>SUBTOTAL(109,Tabell_Gris[Kvartal 4 2023])</f>
        <v>627626</v>
      </c>
      <c r="J19" s="16">
        <f>SUBTOTAL(109,Tabell_Gris[2023])</f>
        <v>2568334</v>
      </c>
      <c r="K19" s="16">
        <f>SUBTOTAL(109,Tabell_Gris[Kvartal 1 2024])</f>
        <v>650364</v>
      </c>
      <c r="L19" s="16">
        <f>SUBTOTAL(109,Tabell_Gris[Kvartal 2 2024])</f>
        <v>626037</v>
      </c>
      <c r="M19" s="16">
        <f>SUBTOTAL(109,Tabell_Gris[Kvartal 3 2024])</f>
        <v>658967</v>
      </c>
      <c r="N19" s="16">
        <f>SUBTOTAL(109,Tabell_Gris[Kvartal 4 2024])</f>
        <v>640960</v>
      </c>
      <c r="O19" s="16">
        <f>SUBTOTAL(109,Tabell_Gris[2024])</f>
        <v>2576328</v>
      </c>
      <c r="P19" s="17">
        <f>N19/I19-1</f>
        <v>2.1245136434755674E-2</v>
      </c>
      <c r="Q19" s="17">
        <f>O19/SUM(F19:I19)-1</f>
        <v>3.1125235269244822E-3</v>
      </c>
      <c r="R19" s="18">
        <f>SUBTOTAL(109,Tabell_Gris[Procentuell andel 2024*])</f>
        <v>1</v>
      </c>
    </row>
    <row r="20" spans="1:18" ht="15" customHeight="1" x14ac:dyDescent="0.25">
      <c r="A20" t="s">
        <v>36</v>
      </c>
    </row>
    <row r="21" spans="1:18" ht="15" customHeight="1" x14ac:dyDescent="0.25">
      <c r="A21" t="s">
        <v>37</v>
      </c>
    </row>
    <row r="22" spans="1:18" ht="15" customHeight="1" x14ac:dyDescent="0.25">
      <c r="A22" t="s">
        <v>38</v>
      </c>
    </row>
    <row r="23" spans="1:18" ht="15" customHeight="1" x14ac:dyDescent="0.25">
      <c r="A23" t="s">
        <v>39</v>
      </c>
    </row>
    <row r="24" spans="1:18" ht="15" customHeight="1" x14ac:dyDescent="0.25"/>
    <row r="25" spans="1:18" ht="15" customHeight="1" x14ac:dyDescent="0.25"/>
    <row r="26" spans="1:18" ht="15" customHeight="1" x14ac:dyDescent="0.25"/>
    <row r="27" spans="1:18" ht="15" customHeight="1" x14ac:dyDescent="0.25"/>
    <row r="28" spans="1:18" ht="15" customHeight="1" x14ac:dyDescent="0.25"/>
    <row r="29" spans="1:18" ht="15" customHeight="1" x14ac:dyDescent="0.25"/>
    <row r="30" spans="1:18" ht="15" customHeight="1" x14ac:dyDescent="0.25"/>
    <row r="31" spans="1:18" ht="15" customHeight="1" x14ac:dyDescent="0.25"/>
    <row r="32" spans="1:1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pageMargins left="0.70866141732283472" right="0.31496062992125984" top="0.55118110236220474" bottom="0.74803149606299213" header="0.31496062992125984" footer="0.31496062992125984"/>
  <pageSetup paperSize="9" scale="7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C00F-628C-43B0-B5D3-02ABE19CAEBB}">
  <sheetPr codeName="flStorb">
    <pageSetUpPr fitToPage="1"/>
  </sheetPr>
  <dimension ref="A1:R79"/>
  <sheetViews>
    <sheetView workbookViewId="0">
      <selection activeCell="A2" sqref="A2"/>
    </sheetView>
  </sheetViews>
  <sheetFormatPr defaultColWidth="9.140625" defaultRowHeight="15" x14ac:dyDescent="0.25"/>
  <cols>
    <col min="1" max="1" width="27" customWidth="1"/>
    <col min="2" max="15" width="8.28515625" customWidth="1"/>
    <col min="16" max="16" width="9.28515625" customWidth="1"/>
    <col min="17" max="17" width="10.140625" customWidth="1"/>
    <col min="18" max="18" width="10" customWidth="1"/>
  </cols>
  <sheetData>
    <row r="1" spans="1:18" ht="92.25" customHeight="1" x14ac:dyDescent="0.25">
      <c r="A1" s="1" t="s">
        <v>40</v>
      </c>
      <c r="C1" s="1"/>
      <c r="J1" s="1"/>
      <c r="R1" s="2"/>
    </row>
    <row r="2" spans="1:18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25">
      <c r="A3" s="9" t="s">
        <v>41</v>
      </c>
      <c r="B3" s="10">
        <v>1426</v>
      </c>
      <c r="C3" s="10">
        <v>1442</v>
      </c>
      <c r="D3" s="10">
        <v>1385</v>
      </c>
      <c r="E3" s="10">
        <v>1479</v>
      </c>
      <c r="F3" s="11">
        <v>390</v>
      </c>
      <c r="G3" s="11">
        <v>407</v>
      </c>
      <c r="H3" s="11">
        <v>434</v>
      </c>
      <c r="I3" s="11">
        <v>530</v>
      </c>
      <c r="J3" s="19">
        <v>1761</v>
      </c>
      <c r="K3" s="12">
        <v>385</v>
      </c>
      <c r="L3" s="12">
        <v>412</v>
      </c>
      <c r="M3" s="12">
        <v>352</v>
      </c>
      <c r="N3" s="12">
        <v>469</v>
      </c>
      <c r="O3" s="10">
        <v>1618</v>
      </c>
      <c r="P3" s="13">
        <v>-0.11509433962264148</v>
      </c>
      <c r="Q3" s="13">
        <v>-8.1203861442362246E-2</v>
      </c>
      <c r="R3" s="14">
        <v>3.9066272623669625E-3</v>
      </c>
    </row>
    <row r="4" spans="1:18" ht="15" customHeight="1" x14ac:dyDescent="0.25">
      <c r="A4" s="9" t="s">
        <v>42</v>
      </c>
      <c r="B4" s="10">
        <v>1576</v>
      </c>
      <c r="C4" s="10">
        <v>1755</v>
      </c>
      <c r="D4" s="10">
        <v>1922</v>
      </c>
      <c r="E4" s="10">
        <v>2108</v>
      </c>
      <c r="F4" s="11">
        <v>491</v>
      </c>
      <c r="G4" s="11">
        <v>584</v>
      </c>
      <c r="H4" s="11">
        <v>569</v>
      </c>
      <c r="I4" s="11">
        <v>454</v>
      </c>
      <c r="J4" s="19">
        <v>2098</v>
      </c>
      <c r="K4" s="12">
        <v>471</v>
      </c>
      <c r="L4" s="12">
        <v>544</v>
      </c>
      <c r="M4" s="12">
        <v>497</v>
      </c>
      <c r="N4" s="12">
        <v>472</v>
      </c>
      <c r="O4" s="10">
        <v>1984</v>
      </c>
      <c r="P4" s="13">
        <v>3.9647577092511099E-2</v>
      </c>
      <c r="Q4" s="13">
        <v>-5.4337464251668299E-2</v>
      </c>
      <c r="R4" s="14">
        <v>4.7903266307392171E-3</v>
      </c>
    </row>
    <row r="5" spans="1:18" ht="15" customHeight="1" x14ac:dyDescent="0.25">
      <c r="A5" s="9" t="s">
        <v>22</v>
      </c>
      <c r="B5" s="10">
        <v>16870</v>
      </c>
      <c r="C5" s="10">
        <v>17416</v>
      </c>
      <c r="D5" s="10">
        <v>16340</v>
      </c>
      <c r="E5" s="10">
        <v>16534</v>
      </c>
      <c r="F5" s="11">
        <v>3986</v>
      </c>
      <c r="G5" s="11">
        <v>3969</v>
      </c>
      <c r="H5" s="11">
        <v>5114</v>
      </c>
      <c r="I5" s="11">
        <v>6108</v>
      </c>
      <c r="J5" s="19">
        <v>19177</v>
      </c>
      <c r="K5" s="12">
        <v>4436</v>
      </c>
      <c r="L5" s="12">
        <v>4333</v>
      </c>
      <c r="M5" s="12">
        <v>4868</v>
      </c>
      <c r="N5" s="12">
        <v>5621</v>
      </c>
      <c r="O5" s="10">
        <v>19258</v>
      </c>
      <c r="P5" s="13">
        <v>-7.9731499672560546E-2</v>
      </c>
      <c r="Q5" s="13">
        <v>4.2238097721227774E-3</v>
      </c>
      <c r="R5" s="14">
        <v>4.649803944293137E-2</v>
      </c>
    </row>
    <row r="6" spans="1:18" ht="15" customHeight="1" x14ac:dyDescent="0.25">
      <c r="A6" s="9" t="s">
        <v>43</v>
      </c>
      <c r="B6" s="10">
        <v>1831</v>
      </c>
      <c r="C6" s="10">
        <v>1351</v>
      </c>
      <c r="D6" s="10">
        <v>832</v>
      </c>
      <c r="E6" s="10">
        <v>768</v>
      </c>
      <c r="F6" s="11">
        <v>185</v>
      </c>
      <c r="G6" s="11">
        <v>179</v>
      </c>
      <c r="H6" s="11">
        <v>192</v>
      </c>
      <c r="I6" s="11">
        <v>252</v>
      </c>
      <c r="J6" s="19">
        <v>808</v>
      </c>
      <c r="K6" s="12">
        <v>162</v>
      </c>
      <c r="L6" s="12">
        <v>88</v>
      </c>
      <c r="M6" s="12">
        <v>130</v>
      </c>
      <c r="N6" s="12">
        <v>166</v>
      </c>
      <c r="O6" s="10">
        <v>546</v>
      </c>
      <c r="P6" s="13">
        <v>-0.34126984126984128</v>
      </c>
      <c r="Q6" s="13">
        <v>-0.32425742574257421</v>
      </c>
      <c r="R6" s="14">
        <v>1.3183056151127078E-3</v>
      </c>
    </row>
    <row r="7" spans="1:18" ht="15" customHeight="1" x14ac:dyDescent="0.25">
      <c r="A7" s="9" t="s">
        <v>44</v>
      </c>
      <c r="B7" s="10">
        <v>7278</v>
      </c>
      <c r="C7" s="10">
        <v>9019</v>
      </c>
      <c r="D7" s="10">
        <v>10001</v>
      </c>
      <c r="E7" s="10">
        <v>9636</v>
      </c>
      <c r="F7" s="11">
        <v>2868</v>
      </c>
      <c r="G7" s="11">
        <v>2828</v>
      </c>
      <c r="H7" s="11">
        <v>3188</v>
      </c>
      <c r="I7" s="11">
        <v>3997</v>
      </c>
      <c r="J7" s="19">
        <v>12881</v>
      </c>
      <c r="K7" s="12">
        <v>3317</v>
      </c>
      <c r="L7" s="12">
        <v>2716</v>
      </c>
      <c r="M7" s="12">
        <v>3009</v>
      </c>
      <c r="N7" s="12">
        <v>3304</v>
      </c>
      <c r="O7" s="10">
        <v>12346</v>
      </c>
      <c r="P7" s="13">
        <v>-0.17338003502626975</v>
      </c>
      <c r="Q7" s="13">
        <v>-4.1534042388013392E-2</v>
      </c>
      <c r="R7" s="14">
        <v>2.980915956809797E-2</v>
      </c>
    </row>
    <row r="8" spans="1:18" ht="15" customHeight="1" x14ac:dyDescent="0.25">
      <c r="A8" s="9" t="s">
        <v>45</v>
      </c>
      <c r="B8" s="10">
        <v>10224</v>
      </c>
      <c r="C8" s="10">
        <v>14795</v>
      </c>
      <c r="D8" s="10">
        <v>14349</v>
      </c>
      <c r="E8" s="10">
        <v>14578</v>
      </c>
      <c r="F8" s="11">
        <v>3642</v>
      </c>
      <c r="G8" s="11">
        <v>3269</v>
      </c>
      <c r="H8" s="11">
        <v>3502</v>
      </c>
      <c r="I8" s="11">
        <v>4160</v>
      </c>
      <c r="J8" s="19">
        <v>14573</v>
      </c>
      <c r="K8" s="12">
        <v>3236</v>
      </c>
      <c r="L8" s="12">
        <v>3104</v>
      </c>
      <c r="M8" s="12">
        <v>3387</v>
      </c>
      <c r="N8" s="12">
        <v>3658</v>
      </c>
      <c r="O8" s="10">
        <v>13385</v>
      </c>
      <c r="P8" s="13">
        <v>-0.12067307692307694</v>
      </c>
      <c r="Q8" s="13">
        <v>-8.1520620325259086E-2</v>
      </c>
      <c r="R8" s="14">
        <v>3.2317803403449807E-2</v>
      </c>
    </row>
    <row r="9" spans="1:18" ht="15" customHeight="1" x14ac:dyDescent="0.25">
      <c r="A9" s="9" t="s">
        <v>46</v>
      </c>
      <c r="B9" s="10">
        <v>2949</v>
      </c>
      <c r="C9" s="10">
        <v>3479</v>
      </c>
      <c r="D9" s="10">
        <v>3488</v>
      </c>
      <c r="E9" s="10">
        <v>3566</v>
      </c>
      <c r="F9" s="11">
        <v>836</v>
      </c>
      <c r="G9" s="11">
        <v>861</v>
      </c>
      <c r="H9" s="11">
        <v>699</v>
      </c>
      <c r="I9" s="11">
        <v>871</v>
      </c>
      <c r="J9" s="19">
        <v>3267</v>
      </c>
      <c r="K9" s="12">
        <v>816</v>
      </c>
      <c r="L9" s="12">
        <v>897</v>
      </c>
      <c r="M9" s="12">
        <v>891</v>
      </c>
      <c r="N9" s="12">
        <v>908</v>
      </c>
      <c r="O9" s="10">
        <v>3512</v>
      </c>
      <c r="P9" s="13">
        <v>4.2479908151549894E-2</v>
      </c>
      <c r="Q9" s="13">
        <v>7.4992347719620378E-2</v>
      </c>
      <c r="R9" s="14">
        <v>8.4796507697359521E-3</v>
      </c>
    </row>
    <row r="10" spans="1:18" ht="15" customHeight="1" x14ac:dyDescent="0.25">
      <c r="A10" s="9" t="s">
        <v>23</v>
      </c>
      <c r="B10" s="10">
        <v>12558</v>
      </c>
      <c r="C10" s="10">
        <v>7883</v>
      </c>
      <c r="D10" s="10">
        <v>5917</v>
      </c>
      <c r="E10" s="10">
        <v>7466</v>
      </c>
      <c r="F10" s="11">
        <v>2235</v>
      </c>
      <c r="G10" s="11">
        <v>2225</v>
      </c>
      <c r="H10" s="11">
        <v>2653</v>
      </c>
      <c r="I10" s="11">
        <v>2893</v>
      </c>
      <c r="J10" s="19">
        <v>10006</v>
      </c>
      <c r="K10" s="12">
        <v>2811</v>
      </c>
      <c r="L10" s="12">
        <v>2655</v>
      </c>
      <c r="M10" s="12">
        <v>2992</v>
      </c>
      <c r="N10" s="12">
        <v>2687</v>
      </c>
      <c r="O10" s="10">
        <v>11145</v>
      </c>
      <c r="P10" s="13">
        <v>-7.1206360179744244E-2</v>
      </c>
      <c r="Q10" s="13">
        <v>0.11383170097941231</v>
      </c>
      <c r="R10" s="14">
        <v>2.6909370110679724E-2</v>
      </c>
    </row>
    <row r="11" spans="1:18" ht="15" customHeight="1" x14ac:dyDescent="0.25">
      <c r="A11" s="9" t="s">
        <v>47</v>
      </c>
      <c r="B11" s="10">
        <v>3907</v>
      </c>
      <c r="C11" s="10">
        <v>5242</v>
      </c>
      <c r="D11" s="10">
        <v>6125</v>
      </c>
      <c r="E11" s="10">
        <v>6078</v>
      </c>
      <c r="F11" s="11">
        <v>1443</v>
      </c>
      <c r="G11" s="11">
        <v>1342</v>
      </c>
      <c r="H11" s="11">
        <v>1375</v>
      </c>
      <c r="I11" s="11">
        <v>1833</v>
      </c>
      <c r="J11" s="19">
        <v>5993</v>
      </c>
      <c r="K11" s="12">
        <v>1779</v>
      </c>
      <c r="L11" s="12">
        <v>1638</v>
      </c>
      <c r="M11" s="12">
        <v>1875</v>
      </c>
      <c r="N11" s="12">
        <v>2471</v>
      </c>
      <c r="O11" s="10">
        <v>7763</v>
      </c>
      <c r="P11" s="13">
        <v>0.34806328423349697</v>
      </c>
      <c r="Q11" s="13">
        <v>0.29534456866344061</v>
      </c>
      <c r="R11" s="14">
        <v>1.8743601630256321E-2</v>
      </c>
    </row>
    <row r="12" spans="1:18" ht="15" customHeight="1" x14ac:dyDescent="0.25">
      <c r="A12" s="9" t="s">
        <v>24</v>
      </c>
      <c r="B12" s="10">
        <v>32111</v>
      </c>
      <c r="C12" s="10">
        <v>32514</v>
      </c>
      <c r="D12" s="10">
        <v>34764</v>
      </c>
      <c r="E12" s="10">
        <v>34837</v>
      </c>
      <c r="F12" s="11">
        <v>8774</v>
      </c>
      <c r="G12" s="11">
        <v>8471</v>
      </c>
      <c r="H12" s="11">
        <v>9318</v>
      </c>
      <c r="I12" s="11">
        <v>8980</v>
      </c>
      <c r="J12" s="19">
        <v>35543</v>
      </c>
      <c r="K12" s="12">
        <v>8661</v>
      </c>
      <c r="L12" s="12">
        <v>8063</v>
      </c>
      <c r="M12" s="12">
        <v>8878</v>
      </c>
      <c r="N12" s="12">
        <v>8429</v>
      </c>
      <c r="O12" s="10">
        <v>34031</v>
      </c>
      <c r="P12" s="13">
        <v>-6.1358574610244965E-2</v>
      </c>
      <c r="Q12" s="13">
        <v>-4.2540021945249418E-2</v>
      </c>
      <c r="R12" s="14">
        <v>8.2167139904579786E-2</v>
      </c>
    </row>
    <row r="13" spans="1:18" ht="15" customHeight="1" x14ac:dyDescent="0.25">
      <c r="A13" s="9" t="s">
        <v>25</v>
      </c>
      <c r="B13" s="10">
        <v>60378</v>
      </c>
      <c r="C13" s="10">
        <v>57394</v>
      </c>
      <c r="D13" s="10">
        <v>51303</v>
      </c>
      <c r="E13" s="10">
        <v>51489</v>
      </c>
      <c r="F13" s="11">
        <v>12514</v>
      </c>
      <c r="G13" s="11">
        <v>12866</v>
      </c>
      <c r="H13" s="11">
        <v>14502</v>
      </c>
      <c r="I13" s="11">
        <v>14796</v>
      </c>
      <c r="J13" s="19">
        <v>54678</v>
      </c>
      <c r="K13" s="12">
        <v>13598</v>
      </c>
      <c r="L13" s="12">
        <v>12792</v>
      </c>
      <c r="M13" s="12">
        <v>14421</v>
      </c>
      <c r="N13" s="12">
        <v>15453</v>
      </c>
      <c r="O13" s="10">
        <v>56264</v>
      </c>
      <c r="P13" s="13">
        <v>4.4403892944038903E-2</v>
      </c>
      <c r="Q13" s="13">
        <v>2.9006181645268692E-2</v>
      </c>
      <c r="R13" s="14">
        <v>0.13584825481447141</v>
      </c>
    </row>
    <row r="14" spans="1:18" ht="15" customHeight="1" x14ac:dyDescent="0.25">
      <c r="A14" s="9" t="s">
        <v>26</v>
      </c>
      <c r="B14" s="10">
        <v>71214</v>
      </c>
      <c r="C14" s="10">
        <v>50476</v>
      </c>
      <c r="D14" s="10">
        <v>43519</v>
      </c>
      <c r="E14" s="10">
        <v>45187</v>
      </c>
      <c r="F14" s="11">
        <v>12024</v>
      </c>
      <c r="G14" s="11">
        <v>11193</v>
      </c>
      <c r="H14" s="11">
        <v>13714</v>
      </c>
      <c r="I14" s="11">
        <v>13025</v>
      </c>
      <c r="J14" s="19">
        <v>49956</v>
      </c>
      <c r="K14" s="12">
        <v>12063</v>
      </c>
      <c r="L14" s="12">
        <v>12119</v>
      </c>
      <c r="M14" s="12">
        <v>13450</v>
      </c>
      <c r="N14" s="12">
        <v>14309</v>
      </c>
      <c r="O14" s="10">
        <v>51941</v>
      </c>
      <c r="P14" s="13">
        <v>9.8579654510556614E-2</v>
      </c>
      <c r="Q14" s="13">
        <v>3.9734966770758273E-2</v>
      </c>
      <c r="R14" s="14">
        <v>0.12541046145525486</v>
      </c>
    </row>
    <row r="15" spans="1:18" ht="15" customHeight="1" x14ac:dyDescent="0.25">
      <c r="A15" s="9" t="s">
        <v>29</v>
      </c>
      <c r="B15" s="10">
        <v>5172</v>
      </c>
      <c r="C15" s="10">
        <v>5467</v>
      </c>
      <c r="D15" s="10">
        <v>5501</v>
      </c>
      <c r="E15" s="10">
        <v>5324</v>
      </c>
      <c r="F15" s="11">
        <v>1241</v>
      </c>
      <c r="G15" s="11">
        <v>1545</v>
      </c>
      <c r="H15" s="11">
        <v>1498</v>
      </c>
      <c r="I15" s="11">
        <v>1621</v>
      </c>
      <c r="J15" s="19">
        <v>5905</v>
      </c>
      <c r="K15" s="12">
        <v>1681</v>
      </c>
      <c r="L15" s="12">
        <v>1330</v>
      </c>
      <c r="M15" s="12">
        <v>1443</v>
      </c>
      <c r="N15" s="12">
        <v>1095</v>
      </c>
      <c r="O15" s="10">
        <v>5549</v>
      </c>
      <c r="P15" s="13">
        <v>-0.32449105490438002</v>
      </c>
      <c r="Q15" s="13">
        <v>-6.0287891617273548E-2</v>
      </c>
      <c r="R15" s="14">
        <v>1.3397944795348747E-2</v>
      </c>
    </row>
    <row r="16" spans="1:18" ht="15" customHeight="1" x14ac:dyDescent="0.25">
      <c r="A16" s="9" t="s">
        <v>48</v>
      </c>
      <c r="B16" s="10">
        <v>3400</v>
      </c>
      <c r="C16" s="10">
        <v>3376</v>
      </c>
      <c r="D16" s="10">
        <v>2735</v>
      </c>
      <c r="E16" s="10">
        <v>2690</v>
      </c>
      <c r="F16" s="11">
        <v>693</v>
      </c>
      <c r="G16" s="11">
        <v>634</v>
      </c>
      <c r="H16" s="11">
        <v>689</v>
      </c>
      <c r="I16" s="11">
        <v>644</v>
      </c>
      <c r="J16" s="19">
        <v>2660</v>
      </c>
      <c r="K16" s="12">
        <v>688</v>
      </c>
      <c r="L16" s="12">
        <v>668</v>
      </c>
      <c r="M16" s="12">
        <v>712</v>
      </c>
      <c r="N16" s="12">
        <v>755</v>
      </c>
      <c r="O16" s="10">
        <v>2823</v>
      </c>
      <c r="P16" s="13">
        <v>0.17236024844720488</v>
      </c>
      <c r="Q16" s="13">
        <v>6.1278195488721821E-2</v>
      </c>
      <c r="R16" s="14">
        <v>6.8160746363794406E-3</v>
      </c>
    </row>
    <row r="17" spans="1:18" ht="15" customHeight="1" x14ac:dyDescent="0.25">
      <c r="A17" s="9" t="s">
        <v>49</v>
      </c>
      <c r="B17" s="10">
        <v>6949</v>
      </c>
      <c r="C17" s="10">
        <v>7398</v>
      </c>
      <c r="D17" s="10">
        <v>7598</v>
      </c>
      <c r="E17" s="10">
        <v>7371</v>
      </c>
      <c r="F17" s="11">
        <v>1752</v>
      </c>
      <c r="G17" s="11">
        <v>1447</v>
      </c>
      <c r="H17" s="11">
        <v>1695</v>
      </c>
      <c r="I17" s="11">
        <v>1914</v>
      </c>
      <c r="J17" s="19">
        <v>6808</v>
      </c>
      <c r="K17" s="12">
        <v>1793</v>
      </c>
      <c r="L17" s="12">
        <v>1546</v>
      </c>
      <c r="M17" s="12">
        <v>1683</v>
      </c>
      <c r="N17" s="12">
        <v>1858</v>
      </c>
      <c r="O17" s="10">
        <v>6880</v>
      </c>
      <c r="P17" s="13">
        <v>-2.925809822361547E-2</v>
      </c>
      <c r="Q17" s="13">
        <v>1.0575793184488758E-2</v>
      </c>
      <c r="R17" s="14">
        <v>1.6611616542079544E-2</v>
      </c>
    </row>
    <row r="18" spans="1:18" ht="15" customHeight="1" x14ac:dyDescent="0.25">
      <c r="A18" s="9" t="s">
        <v>50</v>
      </c>
      <c r="B18" s="10">
        <v>6356</v>
      </c>
      <c r="C18" s="10">
        <v>7178</v>
      </c>
      <c r="D18" s="10">
        <v>6761</v>
      </c>
      <c r="E18" s="10">
        <v>6898</v>
      </c>
      <c r="F18" s="11">
        <v>1674</v>
      </c>
      <c r="G18" s="11">
        <v>1555</v>
      </c>
      <c r="H18" s="11">
        <v>1803</v>
      </c>
      <c r="I18" s="11">
        <v>1899</v>
      </c>
      <c r="J18" s="19">
        <v>6931</v>
      </c>
      <c r="K18" s="12">
        <v>1786</v>
      </c>
      <c r="L18" s="12">
        <v>1366</v>
      </c>
      <c r="M18" s="12">
        <v>1810</v>
      </c>
      <c r="N18" s="12">
        <v>1713</v>
      </c>
      <c r="O18" s="10">
        <v>6675</v>
      </c>
      <c r="P18" s="13">
        <v>-9.794628751974721E-2</v>
      </c>
      <c r="Q18" s="13">
        <v>-3.6935507141826585E-2</v>
      </c>
      <c r="R18" s="14">
        <v>1.6116648316625137E-2</v>
      </c>
    </row>
    <row r="19" spans="1:18" ht="15" customHeight="1" x14ac:dyDescent="0.25">
      <c r="A19" s="9" t="s">
        <v>51</v>
      </c>
      <c r="B19" s="10">
        <v>11077</v>
      </c>
      <c r="C19" s="10">
        <v>10916</v>
      </c>
      <c r="D19" s="10">
        <v>10507</v>
      </c>
      <c r="E19" s="10">
        <v>11319</v>
      </c>
      <c r="F19" s="11">
        <v>2763</v>
      </c>
      <c r="G19" s="11">
        <v>2777</v>
      </c>
      <c r="H19" s="11">
        <v>2505</v>
      </c>
      <c r="I19" s="11">
        <v>2875</v>
      </c>
      <c r="J19" s="19">
        <v>10920</v>
      </c>
      <c r="K19" s="12">
        <v>2819</v>
      </c>
      <c r="L19" s="12">
        <v>2718</v>
      </c>
      <c r="M19" s="12">
        <v>2514</v>
      </c>
      <c r="N19" s="12">
        <v>2885</v>
      </c>
      <c r="O19" s="10">
        <v>10936</v>
      </c>
      <c r="P19" s="13">
        <v>3.4782608695651529E-3</v>
      </c>
      <c r="Q19" s="13">
        <v>1.46520146520146E-3</v>
      </c>
      <c r="R19" s="14">
        <v>2.6404743968631086E-2</v>
      </c>
    </row>
    <row r="20" spans="1:18" ht="15" customHeight="1" x14ac:dyDescent="0.25">
      <c r="A20" s="9" t="s">
        <v>52</v>
      </c>
      <c r="B20" s="10">
        <v>3336</v>
      </c>
      <c r="C20" s="10">
        <v>3346</v>
      </c>
      <c r="D20" s="10">
        <v>3001</v>
      </c>
      <c r="E20" s="10">
        <v>2906</v>
      </c>
      <c r="F20" s="11">
        <v>539</v>
      </c>
      <c r="G20" s="11">
        <v>671</v>
      </c>
      <c r="H20" s="11">
        <v>790</v>
      </c>
      <c r="I20" s="11">
        <v>1122</v>
      </c>
      <c r="J20" s="19">
        <v>3122</v>
      </c>
      <c r="K20" s="12">
        <v>726</v>
      </c>
      <c r="L20" s="12">
        <v>757</v>
      </c>
      <c r="M20" s="12">
        <v>649</v>
      </c>
      <c r="N20" s="12">
        <v>879</v>
      </c>
      <c r="O20" s="10">
        <v>3011</v>
      </c>
      <c r="P20" s="13">
        <v>-0.21657754010695185</v>
      </c>
      <c r="Q20" s="13">
        <v>-3.5554131966687996E-2</v>
      </c>
      <c r="R20" s="14">
        <v>7.269996716308358E-3</v>
      </c>
    </row>
    <row r="21" spans="1:18" ht="15" customHeight="1" x14ac:dyDescent="0.25">
      <c r="A21" s="9" t="s">
        <v>30</v>
      </c>
      <c r="B21" s="10">
        <v>19609</v>
      </c>
      <c r="C21" s="10">
        <v>18354</v>
      </c>
      <c r="D21" s="10">
        <v>18427</v>
      </c>
      <c r="E21" s="10">
        <v>17275</v>
      </c>
      <c r="F21" s="11">
        <v>4065</v>
      </c>
      <c r="G21" s="11">
        <v>3971</v>
      </c>
      <c r="H21" s="11">
        <v>4847</v>
      </c>
      <c r="I21" s="11">
        <v>5151</v>
      </c>
      <c r="J21" s="19">
        <v>18034</v>
      </c>
      <c r="K21" s="12">
        <v>4139</v>
      </c>
      <c r="L21" s="12">
        <v>4579</v>
      </c>
      <c r="M21" s="12">
        <v>5026</v>
      </c>
      <c r="N21" s="12">
        <v>5072</v>
      </c>
      <c r="O21" s="10">
        <v>18816</v>
      </c>
      <c r="P21" s="13">
        <v>-1.5336827800427111E-2</v>
      </c>
      <c r="Q21" s="13">
        <v>4.3362537429300296E-2</v>
      </c>
      <c r="R21" s="14">
        <v>4.5430839659268703E-2</v>
      </c>
    </row>
    <row r="22" spans="1:18" ht="15" customHeight="1" x14ac:dyDescent="0.25">
      <c r="A22" s="9" t="s">
        <v>31</v>
      </c>
      <c r="B22" s="10">
        <v>556</v>
      </c>
      <c r="C22" s="10">
        <v>519</v>
      </c>
      <c r="D22" s="10">
        <v>585</v>
      </c>
      <c r="E22" s="10">
        <v>585</v>
      </c>
      <c r="F22" s="11">
        <v>106</v>
      </c>
      <c r="G22" s="11">
        <v>158</v>
      </c>
      <c r="H22" s="11">
        <v>164</v>
      </c>
      <c r="I22" s="11">
        <v>156</v>
      </c>
      <c r="J22" s="19">
        <v>584</v>
      </c>
      <c r="K22" s="12">
        <v>140</v>
      </c>
      <c r="L22" s="12">
        <v>166</v>
      </c>
      <c r="M22" s="12">
        <v>165</v>
      </c>
      <c r="N22" s="12">
        <v>128</v>
      </c>
      <c r="O22" s="10">
        <v>599</v>
      </c>
      <c r="P22" s="13">
        <v>-0.17948717948717952</v>
      </c>
      <c r="Q22" s="13">
        <v>2.5684931506849251E-2</v>
      </c>
      <c r="R22" s="14">
        <v>1.4462730099862858E-3</v>
      </c>
    </row>
    <row r="23" spans="1:18" ht="15" customHeight="1" x14ac:dyDescent="0.25">
      <c r="A23" s="9" t="s">
        <v>53</v>
      </c>
      <c r="B23" s="10">
        <v>76265</v>
      </c>
      <c r="C23" s="10">
        <v>103198</v>
      </c>
      <c r="D23" s="10">
        <v>101310</v>
      </c>
      <c r="E23" s="10">
        <v>100650</v>
      </c>
      <c r="F23" s="11">
        <v>24811</v>
      </c>
      <c r="G23" s="11">
        <v>23944</v>
      </c>
      <c r="H23" s="11">
        <v>24718</v>
      </c>
      <c r="I23" s="11">
        <v>23854</v>
      </c>
      <c r="J23" s="19">
        <v>97327</v>
      </c>
      <c r="K23" s="12">
        <v>26179</v>
      </c>
      <c r="L23" s="12">
        <v>21785</v>
      </c>
      <c r="M23" s="12">
        <v>24319</v>
      </c>
      <c r="N23" s="12">
        <v>26260</v>
      </c>
      <c r="O23" s="10">
        <v>98543</v>
      </c>
      <c r="P23" s="13">
        <v>0.10086358681982066</v>
      </c>
      <c r="Q23" s="13">
        <v>1.2493963648319673E-2</v>
      </c>
      <c r="R23" s="14">
        <v>0.23793001873635819</v>
      </c>
    </row>
    <row r="24" spans="1:18" ht="15" customHeight="1" x14ac:dyDescent="0.25">
      <c r="A24" s="9" t="s">
        <v>54</v>
      </c>
      <c r="B24" s="10">
        <v>1950</v>
      </c>
      <c r="C24" s="10">
        <v>1728</v>
      </c>
      <c r="D24" s="10">
        <v>1576</v>
      </c>
      <c r="E24" s="10">
        <v>1132</v>
      </c>
      <c r="F24" s="11">
        <v>227</v>
      </c>
      <c r="G24" s="11">
        <v>241</v>
      </c>
      <c r="H24" s="11">
        <v>246</v>
      </c>
      <c r="I24" s="11">
        <v>238</v>
      </c>
      <c r="J24" s="19">
        <v>952</v>
      </c>
      <c r="K24" s="12">
        <v>214</v>
      </c>
      <c r="L24" s="12">
        <v>194</v>
      </c>
      <c r="M24" s="12">
        <v>127</v>
      </c>
      <c r="N24" s="12">
        <v>182</v>
      </c>
      <c r="O24" s="10">
        <v>717</v>
      </c>
      <c r="P24" s="13">
        <v>-0.23529411764705888</v>
      </c>
      <c r="Q24" s="13">
        <v>-0.24684873949579833</v>
      </c>
      <c r="R24" s="14">
        <v>1.7311815495161384E-3</v>
      </c>
    </row>
    <row r="25" spans="1:18" ht="15" customHeight="1" x14ac:dyDescent="0.25">
      <c r="A25" s="9" t="s">
        <v>33</v>
      </c>
      <c r="B25" s="10">
        <v>43704</v>
      </c>
      <c r="C25" s="10">
        <v>40598</v>
      </c>
      <c r="D25" s="10">
        <v>38141</v>
      </c>
      <c r="E25" s="10">
        <v>37583</v>
      </c>
      <c r="F25" s="11">
        <v>8923</v>
      </c>
      <c r="G25" s="11">
        <v>8967</v>
      </c>
      <c r="H25" s="11">
        <v>9010</v>
      </c>
      <c r="I25" s="11">
        <v>9785</v>
      </c>
      <c r="J25" s="19">
        <v>36685</v>
      </c>
      <c r="K25" s="12">
        <v>8803</v>
      </c>
      <c r="L25" s="12">
        <v>8812</v>
      </c>
      <c r="M25" s="12">
        <v>9167</v>
      </c>
      <c r="N25" s="12">
        <v>9672</v>
      </c>
      <c r="O25" s="10">
        <v>36454</v>
      </c>
      <c r="P25" s="13">
        <v>-1.154828819621867E-2</v>
      </c>
      <c r="Q25" s="13">
        <v>-6.2968515742128917E-3</v>
      </c>
      <c r="R25" s="14">
        <v>8.8017422881535995E-2</v>
      </c>
    </row>
    <row r="26" spans="1:18" ht="15" customHeight="1" x14ac:dyDescent="0.25">
      <c r="A26" s="9" t="s">
        <v>55</v>
      </c>
      <c r="B26" s="10">
        <v>5537</v>
      </c>
      <c r="C26" s="10">
        <v>5335</v>
      </c>
      <c r="D26" s="10">
        <v>4513</v>
      </c>
      <c r="E26" s="10">
        <v>4422</v>
      </c>
      <c r="F26" s="11">
        <v>1132</v>
      </c>
      <c r="G26" s="11"/>
      <c r="H26" s="11"/>
      <c r="I26" s="11">
        <v>22</v>
      </c>
      <c r="J26" s="19">
        <v>1154</v>
      </c>
      <c r="K26" s="12">
        <v>46</v>
      </c>
      <c r="L26" s="12">
        <v>37</v>
      </c>
      <c r="M26" s="12">
        <v>20</v>
      </c>
      <c r="N26" s="12">
        <v>536</v>
      </c>
      <c r="O26" s="10">
        <v>639</v>
      </c>
      <c r="P26" s="13">
        <v>23.363636363636363</v>
      </c>
      <c r="Q26" s="13">
        <v>-0.44627383015597921</v>
      </c>
      <c r="R26" s="14">
        <v>1.5428521759286086E-3</v>
      </c>
    </row>
    <row r="27" spans="1:18" ht="15" customHeight="1" x14ac:dyDescent="0.25">
      <c r="A27" s="9" t="s">
        <v>56</v>
      </c>
      <c r="B27" s="10">
        <v>1046</v>
      </c>
      <c r="C27" s="10">
        <v>1179</v>
      </c>
      <c r="D27" s="10">
        <v>1139</v>
      </c>
      <c r="E27" s="10">
        <v>962</v>
      </c>
      <c r="F27" s="11">
        <v>193</v>
      </c>
      <c r="G27" s="11">
        <v>248</v>
      </c>
      <c r="H27" s="11">
        <v>188</v>
      </c>
      <c r="I27" s="11">
        <v>329</v>
      </c>
      <c r="J27" s="19">
        <v>958</v>
      </c>
      <c r="K27" s="12">
        <v>178</v>
      </c>
      <c r="L27" s="12">
        <v>255</v>
      </c>
      <c r="M27" s="12">
        <v>185</v>
      </c>
      <c r="N27" s="12">
        <v>300</v>
      </c>
      <c r="O27" s="10">
        <v>918</v>
      </c>
      <c r="P27" s="13">
        <v>-8.8145896656534939E-2</v>
      </c>
      <c r="Q27" s="13">
        <v>-4.1753653444676408E-2</v>
      </c>
      <c r="R27" s="14">
        <v>2.2164918583763111E-3</v>
      </c>
    </row>
    <row r="28" spans="1:18" ht="15" customHeight="1" x14ac:dyDescent="0.25">
      <c r="A28" s="9" t="s">
        <v>34</v>
      </c>
      <c r="B28" s="10">
        <v>9764</v>
      </c>
      <c r="C28" s="10">
        <v>8840</v>
      </c>
      <c r="D28" s="10">
        <v>8223</v>
      </c>
      <c r="E28" s="10">
        <v>7373</v>
      </c>
      <c r="F28" s="11">
        <v>1596</v>
      </c>
      <c r="G28" s="11">
        <v>1681</v>
      </c>
      <c r="H28" s="11">
        <v>1723</v>
      </c>
      <c r="I28" s="11">
        <v>2022</v>
      </c>
      <c r="J28" s="19">
        <v>7022</v>
      </c>
      <c r="K28" s="12">
        <v>1860</v>
      </c>
      <c r="L28" s="12">
        <v>1874</v>
      </c>
      <c r="M28" s="12">
        <v>1801</v>
      </c>
      <c r="N28" s="12">
        <v>2280</v>
      </c>
      <c r="O28" s="10">
        <v>7815</v>
      </c>
      <c r="P28" s="13">
        <v>0.12759643916913954</v>
      </c>
      <c r="Q28" s="13">
        <v>0.11293078894901742</v>
      </c>
      <c r="R28" s="14">
        <v>1.8869154545981343E-2</v>
      </c>
    </row>
    <row r="29" spans="1:18" ht="15" customHeight="1" x14ac:dyDescent="0.25">
      <c r="A29" t="s">
        <v>35</v>
      </c>
      <c r="B29" s="16">
        <f>SUBTOTAL(109,Tabell_Storb[2019])</f>
        <v>417043</v>
      </c>
      <c r="C29" s="16">
        <f>SUBTOTAL(109,Tabell_Storb[2020])</f>
        <v>420198</v>
      </c>
      <c r="D29" s="16">
        <f>SUBTOTAL(109,Tabell_Storb[2021])</f>
        <v>399962</v>
      </c>
      <c r="E29" s="16">
        <f>SUBTOTAL(109,Tabell_Storb[2022])</f>
        <v>400216</v>
      </c>
      <c r="F29" s="16">
        <f>SUBTOTAL(109,Tabell_Storb[Kvartal 1 2023])</f>
        <v>99103</v>
      </c>
      <c r="G29" s="16">
        <f>SUBTOTAL(109,Tabell_Storb[Kvartal 2 2023])</f>
        <v>96033</v>
      </c>
      <c r="H29" s="16">
        <f>SUBTOTAL(109,Tabell_Storb[Kvartal 3 2023])</f>
        <v>105136</v>
      </c>
      <c r="I29" s="16">
        <f>SUBTOTAL(109,Tabell_Storb[Kvartal 4 2023])</f>
        <v>109531</v>
      </c>
      <c r="J29" s="16">
        <f>SUBTOTAL(109,Tabell_Storb[2023])</f>
        <v>409803</v>
      </c>
      <c r="K29" s="16">
        <f>SUBTOTAL(109,Tabell_Storb[Kvartal 1 2024])</f>
        <v>102787</v>
      </c>
      <c r="L29" s="16">
        <f>SUBTOTAL(109,Tabell_Storb[Kvartal 2 2024])</f>
        <v>95448</v>
      </c>
      <c r="M29" s="16">
        <f>SUBTOTAL(109,Tabell_Storb[Kvartal 3 2024])</f>
        <v>104371</v>
      </c>
      <c r="N29" s="16">
        <f>SUBTOTAL(109,Tabell_Storb[Kvartal 4 2024])</f>
        <v>111562</v>
      </c>
      <c r="O29" s="16">
        <f>SUBTOTAL(109,Tabell_Storb[2024])</f>
        <v>414168</v>
      </c>
      <c r="P29" s="17">
        <f>N29/I29-1</f>
        <v>1.8542695675197063E-2</v>
      </c>
      <c r="Q29" s="17">
        <f>O29/SUM(F29:I29)-1</f>
        <v>1.06514593597411E-2</v>
      </c>
      <c r="R29" s="18">
        <f>SUBTOTAL(109,Tabell_Storb[Procentuell andel 2024*])</f>
        <v>1</v>
      </c>
    </row>
    <row r="30" spans="1:18" ht="15" customHeight="1" x14ac:dyDescent="0.25">
      <c r="A30" t="s">
        <v>57</v>
      </c>
    </row>
    <row r="31" spans="1:18" ht="15" customHeight="1" x14ac:dyDescent="0.25">
      <c r="A31" t="s">
        <v>37</v>
      </c>
    </row>
    <row r="32" spans="1:18" ht="15" customHeight="1" x14ac:dyDescent="0.25">
      <c r="A32" t="s">
        <v>58</v>
      </c>
    </row>
    <row r="33" spans="1:1" ht="15" customHeight="1" x14ac:dyDescent="0.25">
      <c r="A33" t="s">
        <v>39</v>
      </c>
    </row>
    <row r="34" spans="1:1" ht="15" customHeight="1" x14ac:dyDescent="0.25"/>
    <row r="35" spans="1:1" ht="15" customHeight="1" x14ac:dyDescent="0.25"/>
    <row r="36" spans="1:1" ht="15" customHeight="1" x14ac:dyDescent="0.25"/>
    <row r="37" spans="1:1" ht="15" customHeight="1" x14ac:dyDescent="0.25"/>
    <row r="38" spans="1:1" ht="15" customHeight="1" x14ac:dyDescent="0.25"/>
    <row r="39" spans="1:1" ht="15" customHeight="1" x14ac:dyDescent="0.25"/>
    <row r="40" spans="1:1" ht="15" customHeight="1" x14ac:dyDescent="0.25"/>
    <row r="41" spans="1:1" ht="15" customHeight="1" x14ac:dyDescent="0.25"/>
    <row r="42" spans="1:1" ht="15" customHeight="1" x14ac:dyDescent="0.25"/>
    <row r="43" spans="1:1" ht="15" customHeight="1" x14ac:dyDescent="0.25"/>
    <row r="44" spans="1:1" ht="15" customHeight="1" x14ac:dyDescent="0.25"/>
    <row r="45" spans="1:1" ht="15" customHeight="1" x14ac:dyDescent="0.25"/>
    <row r="46" spans="1:1" ht="15" customHeight="1" x14ac:dyDescent="0.25"/>
    <row r="47" spans="1:1" ht="15" customHeight="1" x14ac:dyDescent="0.25"/>
    <row r="48" spans="1: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</sheetData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38874-2F7A-49D7-ADF7-C9F3184D1ADA}">
  <sheetPr codeName="flKalv">
    <pageSetUpPr fitToPage="1"/>
  </sheetPr>
  <dimension ref="A1:W69"/>
  <sheetViews>
    <sheetView workbookViewId="0">
      <selection activeCell="A2" sqref="A2"/>
    </sheetView>
  </sheetViews>
  <sheetFormatPr defaultColWidth="9.140625" defaultRowHeight="15" x14ac:dyDescent="0.25"/>
  <cols>
    <col min="1" max="1" width="27" customWidth="1"/>
    <col min="2" max="15" width="8.28515625" customWidth="1"/>
    <col min="16" max="16" width="9.28515625" customWidth="1"/>
    <col min="17" max="17" width="10.140625" customWidth="1"/>
    <col min="18" max="18" width="10" customWidth="1"/>
  </cols>
  <sheetData>
    <row r="1" spans="1:23" ht="92.25" customHeight="1" x14ac:dyDescent="0.25">
      <c r="A1" s="1" t="s">
        <v>59</v>
      </c>
      <c r="C1" s="1"/>
      <c r="J1" s="1"/>
      <c r="R1" s="2"/>
    </row>
    <row r="2" spans="1:23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23" ht="15" customHeight="1" x14ac:dyDescent="0.25">
      <c r="A3" s="9" t="s">
        <v>41</v>
      </c>
      <c r="B3" s="10">
        <v>133</v>
      </c>
      <c r="C3" s="10">
        <v>109</v>
      </c>
      <c r="D3" s="10">
        <v>102</v>
      </c>
      <c r="E3" s="10">
        <v>105</v>
      </c>
      <c r="F3" s="11">
        <v>39</v>
      </c>
      <c r="G3" s="11">
        <v>27</v>
      </c>
      <c r="H3" s="11">
        <v>25</v>
      </c>
      <c r="I3" s="11">
        <v>26</v>
      </c>
      <c r="J3" s="10">
        <v>117</v>
      </c>
      <c r="K3" s="12">
        <v>32</v>
      </c>
      <c r="L3" s="12">
        <v>26</v>
      </c>
      <c r="M3" s="20">
        <v>28</v>
      </c>
      <c r="N3" s="20">
        <v>25</v>
      </c>
      <c r="O3" s="10">
        <v>111</v>
      </c>
      <c r="P3" s="21">
        <v>-3.8461538461538436E-2</v>
      </c>
      <c r="Q3" s="13">
        <v>-5.1282051282051322E-2</v>
      </c>
      <c r="R3" s="14">
        <v>1.1164755582377792E-2</v>
      </c>
      <c r="U3" s="22" t="s">
        <v>60</v>
      </c>
    </row>
    <row r="4" spans="1:23" ht="15" customHeight="1" x14ac:dyDescent="0.25">
      <c r="A4" s="9" t="s">
        <v>61</v>
      </c>
      <c r="B4" s="10">
        <v>16</v>
      </c>
      <c r="C4" s="10">
        <v>19</v>
      </c>
      <c r="D4" s="10">
        <v>62</v>
      </c>
      <c r="E4" s="10">
        <v>58</v>
      </c>
      <c r="F4" s="11">
        <v>18</v>
      </c>
      <c r="G4" s="11">
        <v>15</v>
      </c>
      <c r="H4" s="11">
        <v>12</v>
      </c>
      <c r="I4" s="11">
        <v>14</v>
      </c>
      <c r="J4" s="10">
        <v>59</v>
      </c>
      <c r="K4" s="12">
        <v>20</v>
      </c>
      <c r="L4" s="12">
        <v>14</v>
      </c>
      <c r="M4" s="20">
        <v>13</v>
      </c>
      <c r="N4" s="20">
        <v>14</v>
      </c>
      <c r="O4" s="10">
        <v>61</v>
      </c>
      <c r="P4" s="21">
        <v>0</v>
      </c>
      <c r="Q4" s="13">
        <v>3.3898305084745672E-2</v>
      </c>
      <c r="R4" s="14">
        <v>6.1355864011265341E-3</v>
      </c>
    </row>
    <row r="5" spans="1:23" ht="15" customHeight="1" x14ac:dyDescent="0.25">
      <c r="A5" s="9" t="s">
        <v>62</v>
      </c>
      <c r="B5" s="10"/>
      <c r="C5" s="10">
        <v>82</v>
      </c>
      <c r="D5" s="10">
        <v>100</v>
      </c>
      <c r="E5" s="10">
        <v>130</v>
      </c>
      <c r="F5" s="11">
        <v>30</v>
      </c>
      <c r="G5" s="11">
        <v>32</v>
      </c>
      <c r="H5" s="11">
        <v>25</v>
      </c>
      <c r="I5" s="11">
        <v>48</v>
      </c>
      <c r="J5" s="10">
        <v>135</v>
      </c>
      <c r="K5" s="12">
        <v>32</v>
      </c>
      <c r="L5" s="12">
        <v>31</v>
      </c>
      <c r="M5" s="20">
        <v>20</v>
      </c>
      <c r="N5" s="20">
        <v>36</v>
      </c>
      <c r="O5" s="10">
        <v>119</v>
      </c>
      <c r="P5" s="21">
        <v>-0.25</v>
      </c>
      <c r="Q5" s="13">
        <v>-0.11851851851851847</v>
      </c>
      <c r="R5" s="14">
        <v>1.1969422651377992E-2</v>
      </c>
    </row>
    <row r="6" spans="1:23" ht="15" customHeight="1" x14ac:dyDescent="0.25">
      <c r="A6" s="9" t="s">
        <v>22</v>
      </c>
      <c r="B6" s="10">
        <v>309</v>
      </c>
      <c r="C6" s="10">
        <v>280</v>
      </c>
      <c r="D6" s="10">
        <v>245</v>
      </c>
      <c r="E6" s="10">
        <v>230</v>
      </c>
      <c r="F6" s="11">
        <v>66</v>
      </c>
      <c r="G6" s="11">
        <v>40</v>
      </c>
      <c r="H6" s="11">
        <v>60</v>
      </c>
      <c r="I6" s="11">
        <v>43</v>
      </c>
      <c r="J6" s="10">
        <v>209</v>
      </c>
      <c r="K6" s="12">
        <v>56</v>
      </c>
      <c r="L6" s="12">
        <v>58</v>
      </c>
      <c r="M6" s="20">
        <v>93</v>
      </c>
      <c r="N6" s="20">
        <v>112</v>
      </c>
      <c r="O6" s="10">
        <v>319</v>
      </c>
      <c r="P6" s="21">
        <v>1.6046511627906979</v>
      </c>
      <c r="Q6" s="13">
        <v>0.52631578947368429</v>
      </c>
      <c r="R6" s="14">
        <v>3.2086099376383022E-2</v>
      </c>
      <c r="W6" s="22" t="s">
        <v>63</v>
      </c>
    </row>
    <row r="7" spans="1:23" ht="15" customHeight="1" x14ac:dyDescent="0.25">
      <c r="A7" s="9" t="s">
        <v>44</v>
      </c>
      <c r="B7" s="10">
        <v>355</v>
      </c>
      <c r="C7" s="10">
        <v>294</v>
      </c>
      <c r="D7" s="10">
        <v>319</v>
      </c>
      <c r="E7" s="10">
        <v>328</v>
      </c>
      <c r="F7" s="11">
        <v>77</v>
      </c>
      <c r="G7" s="11">
        <v>68</v>
      </c>
      <c r="H7" s="11">
        <v>60</v>
      </c>
      <c r="I7" s="11">
        <v>196</v>
      </c>
      <c r="J7" s="10">
        <v>401</v>
      </c>
      <c r="K7" s="12">
        <v>114</v>
      </c>
      <c r="L7" s="12">
        <v>57</v>
      </c>
      <c r="M7" s="20">
        <v>66</v>
      </c>
      <c r="N7" s="20">
        <v>139</v>
      </c>
      <c r="O7" s="10">
        <v>376</v>
      </c>
      <c r="P7" s="21">
        <v>-0.29081632653061229</v>
      </c>
      <c r="Q7" s="13">
        <v>-6.2344139650872821E-2</v>
      </c>
      <c r="R7" s="14">
        <v>3.7819352243009453E-2</v>
      </c>
    </row>
    <row r="8" spans="1:23" ht="15" customHeight="1" x14ac:dyDescent="0.25">
      <c r="A8" s="9" t="s">
        <v>45</v>
      </c>
      <c r="B8" s="10">
        <v>264</v>
      </c>
      <c r="C8" s="10">
        <v>247</v>
      </c>
      <c r="D8" s="10">
        <v>169</v>
      </c>
      <c r="E8" s="10">
        <v>95</v>
      </c>
      <c r="F8" s="11">
        <v>198</v>
      </c>
      <c r="G8" s="11">
        <v>46</v>
      </c>
      <c r="H8" s="11">
        <v>36</v>
      </c>
      <c r="I8" s="11">
        <v>232</v>
      </c>
      <c r="J8" s="10">
        <v>512</v>
      </c>
      <c r="K8" s="12">
        <v>427</v>
      </c>
      <c r="L8" s="12">
        <v>339</v>
      </c>
      <c r="M8" s="20">
        <v>42</v>
      </c>
      <c r="N8" s="20">
        <v>485</v>
      </c>
      <c r="O8" s="10">
        <v>1293</v>
      </c>
      <c r="P8" s="21">
        <v>1.0905172413793105</v>
      </c>
      <c r="Q8" s="13">
        <v>1.525390625</v>
      </c>
      <c r="R8" s="14">
        <v>0.1300543150271575</v>
      </c>
    </row>
    <row r="9" spans="1:23" ht="15" customHeight="1" x14ac:dyDescent="0.25">
      <c r="A9" s="9" t="s">
        <v>46</v>
      </c>
      <c r="B9" s="10">
        <v>598</v>
      </c>
      <c r="C9" s="10">
        <v>598</v>
      </c>
      <c r="D9" s="10">
        <v>559</v>
      </c>
      <c r="E9" s="10">
        <v>638</v>
      </c>
      <c r="F9" s="11">
        <v>178</v>
      </c>
      <c r="G9" s="11">
        <v>153</v>
      </c>
      <c r="H9" s="11">
        <v>122</v>
      </c>
      <c r="I9" s="11">
        <v>157</v>
      </c>
      <c r="J9" s="10">
        <v>610</v>
      </c>
      <c r="K9" s="12">
        <v>197</v>
      </c>
      <c r="L9" s="12">
        <v>205</v>
      </c>
      <c r="M9" s="20">
        <v>154</v>
      </c>
      <c r="N9" s="20">
        <v>148</v>
      </c>
      <c r="O9" s="10">
        <v>704</v>
      </c>
      <c r="P9" s="21">
        <v>-5.7324840764331197E-2</v>
      </c>
      <c r="Q9" s="13">
        <v>0.15409836065573779</v>
      </c>
      <c r="R9" s="14">
        <v>7.0810702072017701E-2</v>
      </c>
    </row>
    <row r="10" spans="1:23" ht="15" customHeight="1" x14ac:dyDescent="0.25">
      <c r="A10" s="9" t="s">
        <v>23</v>
      </c>
      <c r="B10" s="10">
        <v>97</v>
      </c>
      <c r="C10" s="10">
        <v>34</v>
      </c>
      <c r="D10" s="10">
        <v>28</v>
      </c>
      <c r="E10" s="10">
        <v>31</v>
      </c>
      <c r="F10" s="11">
        <v>6</v>
      </c>
      <c r="G10" s="11">
        <v>3</v>
      </c>
      <c r="H10" s="11"/>
      <c r="I10" s="11">
        <v>6</v>
      </c>
      <c r="J10" s="10">
        <v>15</v>
      </c>
      <c r="K10" s="12">
        <v>11</v>
      </c>
      <c r="L10" s="12">
        <v>11</v>
      </c>
      <c r="M10" s="20">
        <v>5</v>
      </c>
      <c r="N10" s="20">
        <v>17</v>
      </c>
      <c r="O10" s="10">
        <v>44</v>
      </c>
      <c r="P10" s="21">
        <v>1.8333333333333335</v>
      </c>
      <c r="Q10" s="13">
        <v>1.9333333333333331</v>
      </c>
      <c r="R10" s="14">
        <v>4.4256688795011063E-3</v>
      </c>
    </row>
    <row r="11" spans="1:23" ht="15" customHeight="1" x14ac:dyDescent="0.25">
      <c r="A11" s="9" t="s">
        <v>47</v>
      </c>
      <c r="B11" s="10">
        <v>75</v>
      </c>
      <c r="C11" s="10">
        <v>61</v>
      </c>
      <c r="D11" s="10">
        <v>43</v>
      </c>
      <c r="E11" s="10">
        <v>12</v>
      </c>
      <c r="F11" s="11">
        <v>32</v>
      </c>
      <c r="G11" s="11">
        <v>9</v>
      </c>
      <c r="H11" s="11">
        <v>5</v>
      </c>
      <c r="I11" s="11">
        <v>40</v>
      </c>
      <c r="J11" s="10">
        <v>86</v>
      </c>
      <c r="K11" s="12">
        <v>23</v>
      </c>
      <c r="L11" s="12">
        <v>10</v>
      </c>
      <c r="M11" s="20">
        <v>8</v>
      </c>
      <c r="N11" s="20">
        <v>29</v>
      </c>
      <c r="O11" s="10">
        <v>70</v>
      </c>
      <c r="P11" s="21">
        <v>-0.27500000000000002</v>
      </c>
      <c r="Q11" s="13">
        <v>-0.18604651162790697</v>
      </c>
      <c r="R11" s="14">
        <v>7.0408368537517602E-3</v>
      </c>
    </row>
    <row r="12" spans="1:23" ht="15" customHeight="1" x14ac:dyDescent="0.25">
      <c r="A12" s="9" t="s">
        <v>24</v>
      </c>
      <c r="B12" s="10">
        <v>866</v>
      </c>
      <c r="C12" s="10">
        <v>844</v>
      </c>
      <c r="D12" s="10">
        <v>110</v>
      </c>
      <c r="E12" s="10">
        <v>103</v>
      </c>
      <c r="F12" s="11">
        <v>16</v>
      </c>
      <c r="G12" s="11">
        <v>18</v>
      </c>
      <c r="H12" s="11">
        <v>23</v>
      </c>
      <c r="I12" s="11">
        <v>23</v>
      </c>
      <c r="J12" s="10">
        <v>80</v>
      </c>
      <c r="K12" s="12">
        <v>4</v>
      </c>
      <c r="L12" s="12">
        <v>12</v>
      </c>
      <c r="M12" s="20">
        <v>11</v>
      </c>
      <c r="N12" s="20">
        <v>32</v>
      </c>
      <c r="O12" s="10">
        <v>59</v>
      </c>
      <c r="P12" s="21">
        <v>0.39130434782608692</v>
      </c>
      <c r="Q12" s="13">
        <v>-0.26249999999999996</v>
      </c>
      <c r="R12" s="14">
        <v>5.9344196338764832E-3</v>
      </c>
    </row>
    <row r="13" spans="1:23" ht="15" customHeight="1" x14ac:dyDescent="0.25">
      <c r="A13" s="9" t="s">
        <v>26</v>
      </c>
      <c r="B13" s="10">
        <v>3102</v>
      </c>
      <c r="C13" s="10">
        <v>1481</v>
      </c>
      <c r="D13" s="10">
        <v>241</v>
      </c>
      <c r="E13" s="10">
        <v>386</v>
      </c>
      <c r="F13" s="11">
        <v>136</v>
      </c>
      <c r="G13" s="11">
        <v>375</v>
      </c>
      <c r="H13" s="11">
        <v>348</v>
      </c>
      <c r="I13" s="11">
        <v>323</v>
      </c>
      <c r="J13" s="10">
        <v>1182</v>
      </c>
      <c r="K13" s="12">
        <v>355</v>
      </c>
      <c r="L13" s="12">
        <v>325</v>
      </c>
      <c r="M13" s="20">
        <v>202</v>
      </c>
      <c r="N13" s="20">
        <v>87</v>
      </c>
      <c r="O13" s="10">
        <v>969</v>
      </c>
      <c r="P13" s="21">
        <v>-0.73065015479876161</v>
      </c>
      <c r="Q13" s="13">
        <v>-0.18020304568527923</v>
      </c>
      <c r="R13" s="14">
        <v>9.7465298732649364E-2</v>
      </c>
    </row>
    <row r="14" spans="1:23" ht="15" customHeight="1" x14ac:dyDescent="0.25">
      <c r="A14" s="9" t="s">
        <v>29</v>
      </c>
      <c r="B14" s="10">
        <v>199</v>
      </c>
      <c r="C14" s="10">
        <v>184</v>
      </c>
      <c r="D14" s="10">
        <v>111</v>
      </c>
      <c r="E14" s="10">
        <v>235</v>
      </c>
      <c r="F14" s="11">
        <v>57</v>
      </c>
      <c r="G14" s="11">
        <v>65</v>
      </c>
      <c r="H14" s="11">
        <v>63</v>
      </c>
      <c r="I14" s="11">
        <v>23</v>
      </c>
      <c r="J14" s="10">
        <v>208</v>
      </c>
      <c r="K14" s="12">
        <v>45</v>
      </c>
      <c r="L14" s="12">
        <v>1</v>
      </c>
      <c r="M14" s="20">
        <v>1</v>
      </c>
      <c r="N14" s="20">
        <v>4</v>
      </c>
      <c r="O14" s="10">
        <v>51</v>
      </c>
      <c r="P14" s="21">
        <v>-0.82608695652173914</v>
      </c>
      <c r="Q14" s="13">
        <v>-0.75480769230769229</v>
      </c>
      <c r="R14" s="14">
        <v>5.1297525648762825E-3</v>
      </c>
    </row>
    <row r="15" spans="1:23" ht="15" customHeight="1" x14ac:dyDescent="0.25">
      <c r="A15" s="9" t="s">
        <v>49</v>
      </c>
      <c r="B15" s="10">
        <v>88</v>
      </c>
      <c r="C15" s="10">
        <v>64</v>
      </c>
      <c r="D15" s="10">
        <v>73</v>
      </c>
      <c r="E15" s="10">
        <v>72</v>
      </c>
      <c r="F15" s="11">
        <v>33</v>
      </c>
      <c r="G15" s="11">
        <v>19</v>
      </c>
      <c r="H15" s="11">
        <v>20</v>
      </c>
      <c r="I15" s="11">
        <v>39</v>
      </c>
      <c r="J15" s="10">
        <v>111</v>
      </c>
      <c r="K15" s="12">
        <v>60</v>
      </c>
      <c r="L15" s="12">
        <v>27</v>
      </c>
      <c r="M15" s="20">
        <v>11</v>
      </c>
      <c r="N15" s="20">
        <v>19</v>
      </c>
      <c r="O15" s="10">
        <v>117</v>
      </c>
      <c r="P15" s="21">
        <v>-0.51282051282051277</v>
      </c>
      <c r="Q15" s="13">
        <v>5.4054054054053946E-2</v>
      </c>
      <c r="R15" s="14">
        <v>1.1768255884127943E-2</v>
      </c>
    </row>
    <row r="16" spans="1:23" ht="15" customHeight="1" x14ac:dyDescent="0.25">
      <c r="A16" s="9" t="s">
        <v>50</v>
      </c>
      <c r="B16" s="10">
        <v>73</v>
      </c>
      <c r="C16" s="10">
        <v>92</v>
      </c>
      <c r="D16" s="10">
        <v>74</v>
      </c>
      <c r="E16" s="10">
        <v>163</v>
      </c>
      <c r="F16" s="11">
        <v>91</v>
      </c>
      <c r="G16" s="11">
        <v>49</v>
      </c>
      <c r="H16" s="11">
        <v>52</v>
      </c>
      <c r="I16" s="11">
        <v>54</v>
      </c>
      <c r="J16" s="10">
        <v>246</v>
      </c>
      <c r="K16" s="12">
        <v>56</v>
      </c>
      <c r="L16" s="12">
        <v>42</v>
      </c>
      <c r="M16" s="20">
        <v>9</v>
      </c>
      <c r="N16" s="20">
        <v>31</v>
      </c>
      <c r="O16" s="10">
        <v>138</v>
      </c>
      <c r="P16" s="21">
        <v>-0.42592592592592593</v>
      </c>
      <c r="Q16" s="13">
        <v>-0.43902439024390238</v>
      </c>
      <c r="R16" s="14">
        <v>1.388050694025347E-2</v>
      </c>
    </row>
    <row r="17" spans="1:18" ht="15" customHeight="1" x14ac:dyDescent="0.25">
      <c r="A17" s="9" t="s">
        <v>51</v>
      </c>
      <c r="B17" s="10">
        <v>702</v>
      </c>
      <c r="C17" s="10">
        <v>580</v>
      </c>
      <c r="D17" s="10">
        <v>589</v>
      </c>
      <c r="E17" s="10">
        <v>509</v>
      </c>
      <c r="F17" s="11">
        <v>155</v>
      </c>
      <c r="G17" s="11">
        <v>87</v>
      </c>
      <c r="H17" s="11">
        <v>136</v>
      </c>
      <c r="I17" s="11">
        <v>215</v>
      </c>
      <c r="J17" s="10">
        <v>593</v>
      </c>
      <c r="K17" s="12">
        <v>184</v>
      </c>
      <c r="L17" s="12">
        <v>112</v>
      </c>
      <c r="M17" s="20">
        <v>83</v>
      </c>
      <c r="N17" s="20">
        <v>204</v>
      </c>
      <c r="O17" s="10">
        <v>583</v>
      </c>
      <c r="P17" s="21">
        <v>-5.1162790697674376E-2</v>
      </c>
      <c r="Q17" s="13">
        <v>-1.6863406408094472E-2</v>
      </c>
      <c r="R17" s="14">
        <v>5.8640112653389663E-2</v>
      </c>
    </row>
    <row r="18" spans="1:18" ht="15" customHeight="1" x14ac:dyDescent="0.25">
      <c r="A18" s="9" t="s">
        <v>64</v>
      </c>
      <c r="B18" s="10">
        <v>30</v>
      </c>
      <c r="C18" s="10">
        <v>43</v>
      </c>
      <c r="D18" s="10">
        <v>17</v>
      </c>
      <c r="E18" s="10">
        <v>42</v>
      </c>
      <c r="F18" s="11">
        <v>24</v>
      </c>
      <c r="G18" s="11">
        <v>12</v>
      </c>
      <c r="H18" s="11">
        <v>28</v>
      </c>
      <c r="I18" s="11">
        <v>26</v>
      </c>
      <c r="J18" s="10">
        <v>90</v>
      </c>
      <c r="K18" s="12">
        <v>24</v>
      </c>
      <c r="L18" s="12">
        <v>11</v>
      </c>
      <c r="M18" s="20">
        <v>12</v>
      </c>
      <c r="N18" s="20">
        <v>24</v>
      </c>
      <c r="O18" s="10">
        <v>71</v>
      </c>
      <c r="P18" s="21">
        <v>-7.6923076923076872E-2</v>
      </c>
      <c r="Q18" s="13">
        <v>-0.21111111111111114</v>
      </c>
      <c r="R18" s="14">
        <v>7.1414202373767856E-3</v>
      </c>
    </row>
    <row r="19" spans="1:18" ht="15" customHeight="1" x14ac:dyDescent="0.25">
      <c r="A19" s="9" t="s">
        <v>53</v>
      </c>
      <c r="B19" s="10">
        <v>4245</v>
      </c>
      <c r="C19" s="10">
        <v>5351</v>
      </c>
      <c r="D19" s="10">
        <v>5830</v>
      </c>
      <c r="E19" s="10">
        <v>6103</v>
      </c>
      <c r="F19" s="11">
        <v>1458</v>
      </c>
      <c r="G19" s="11">
        <v>1312</v>
      </c>
      <c r="H19" s="11">
        <v>1528</v>
      </c>
      <c r="I19" s="11">
        <v>1174</v>
      </c>
      <c r="J19" s="10">
        <v>5472</v>
      </c>
      <c r="K19" s="12">
        <v>985</v>
      </c>
      <c r="L19" s="12">
        <v>1062</v>
      </c>
      <c r="M19" s="20">
        <v>1351</v>
      </c>
      <c r="N19" s="20">
        <v>503</v>
      </c>
      <c r="O19" s="10">
        <v>3901</v>
      </c>
      <c r="P19" s="21">
        <v>-0.57155025553662697</v>
      </c>
      <c r="Q19" s="13">
        <v>-0.28709795321637432</v>
      </c>
      <c r="R19" s="14">
        <v>0.3923757795212231</v>
      </c>
    </row>
    <row r="20" spans="1:18" ht="15" customHeight="1" x14ac:dyDescent="0.25">
      <c r="A20" s="9" t="s">
        <v>54</v>
      </c>
      <c r="B20" s="10">
        <v>52</v>
      </c>
      <c r="C20" s="10">
        <v>35</v>
      </c>
      <c r="D20" s="10">
        <v>48</v>
      </c>
      <c r="E20" s="10">
        <v>46</v>
      </c>
      <c r="F20" s="11">
        <v>2</v>
      </c>
      <c r="G20" s="11">
        <v>9</v>
      </c>
      <c r="H20" s="11">
        <v>2</v>
      </c>
      <c r="I20" s="11">
        <v>18</v>
      </c>
      <c r="J20" s="10">
        <v>31</v>
      </c>
      <c r="K20" s="12">
        <v>7</v>
      </c>
      <c r="L20" s="12">
        <v>7</v>
      </c>
      <c r="M20" s="20">
        <v>1</v>
      </c>
      <c r="N20" s="20">
        <v>19</v>
      </c>
      <c r="O20" s="10">
        <v>34</v>
      </c>
      <c r="P20" s="21">
        <v>5.555555555555558E-2</v>
      </c>
      <c r="Q20" s="13">
        <v>9.6774193548387011E-2</v>
      </c>
      <c r="R20" s="14">
        <v>3.4198350432508551E-3</v>
      </c>
    </row>
    <row r="21" spans="1:18" ht="15" customHeight="1" x14ac:dyDescent="0.25">
      <c r="A21" s="9" t="s">
        <v>33</v>
      </c>
      <c r="B21" s="10">
        <v>2277</v>
      </c>
      <c r="C21" s="10">
        <v>1806</v>
      </c>
      <c r="D21" s="10">
        <v>1877</v>
      </c>
      <c r="E21" s="10">
        <v>1312</v>
      </c>
      <c r="F21" s="11">
        <v>15</v>
      </c>
      <c r="G21" s="11">
        <v>6</v>
      </c>
      <c r="H21" s="11">
        <v>20</v>
      </c>
      <c r="I21" s="11">
        <v>60</v>
      </c>
      <c r="J21" s="10">
        <v>101</v>
      </c>
      <c r="K21" s="12">
        <v>9</v>
      </c>
      <c r="L21" s="12">
        <v>21</v>
      </c>
      <c r="M21" s="20">
        <v>58</v>
      </c>
      <c r="N21" s="20">
        <v>214</v>
      </c>
      <c r="O21" s="10">
        <v>302</v>
      </c>
      <c r="P21" s="21">
        <v>2.5666666666666669</v>
      </c>
      <c r="Q21" s="13">
        <v>1.9900990099009901</v>
      </c>
      <c r="R21" s="14">
        <v>3.0376181854757593E-2</v>
      </c>
    </row>
    <row r="22" spans="1:18" ht="15" customHeight="1" x14ac:dyDescent="0.25">
      <c r="A22" s="9" t="s">
        <v>56</v>
      </c>
      <c r="B22" s="10">
        <v>113</v>
      </c>
      <c r="C22" s="10">
        <v>98</v>
      </c>
      <c r="D22" s="10">
        <v>92</v>
      </c>
      <c r="E22" s="10">
        <v>102</v>
      </c>
      <c r="F22" s="11">
        <v>7</v>
      </c>
      <c r="G22" s="11">
        <v>1</v>
      </c>
      <c r="H22" s="11">
        <v>21</v>
      </c>
      <c r="I22" s="11">
        <v>40</v>
      </c>
      <c r="J22" s="10">
        <v>69</v>
      </c>
      <c r="K22" s="12">
        <v>18</v>
      </c>
      <c r="L22" s="12">
        <v>6</v>
      </c>
      <c r="M22" s="20">
        <v>14</v>
      </c>
      <c r="N22" s="20">
        <v>58</v>
      </c>
      <c r="O22" s="10">
        <v>96</v>
      </c>
      <c r="P22" s="21">
        <v>0.44999999999999996</v>
      </c>
      <c r="Q22" s="13">
        <v>0.39130434782608692</v>
      </c>
      <c r="R22" s="14">
        <v>9.6560048280024142E-3</v>
      </c>
    </row>
    <row r="23" spans="1:18" ht="15" customHeight="1" x14ac:dyDescent="0.25">
      <c r="A23" s="9" t="s">
        <v>34</v>
      </c>
      <c r="B23" s="10">
        <v>1297</v>
      </c>
      <c r="C23" s="10">
        <v>1166</v>
      </c>
      <c r="D23" s="10">
        <v>810</v>
      </c>
      <c r="E23" s="10">
        <v>774</v>
      </c>
      <c r="F23" s="11">
        <v>177</v>
      </c>
      <c r="G23" s="11">
        <v>108</v>
      </c>
      <c r="H23" s="11">
        <v>144</v>
      </c>
      <c r="I23" s="11">
        <v>221</v>
      </c>
      <c r="J23" s="10">
        <v>650</v>
      </c>
      <c r="K23" s="12">
        <v>164</v>
      </c>
      <c r="L23" s="12">
        <v>97</v>
      </c>
      <c r="M23" s="20">
        <v>109</v>
      </c>
      <c r="N23" s="20">
        <v>154</v>
      </c>
      <c r="O23" s="10">
        <v>524</v>
      </c>
      <c r="P23" s="21">
        <v>-0.30316742081447967</v>
      </c>
      <c r="Q23" s="13">
        <v>-0.19384615384615389</v>
      </c>
      <c r="R23" s="14">
        <v>5.2705693019513174E-2</v>
      </c>
    </row>
    <row r="24" spans="1:18" ht="15" customHeight="1" x14ac:dyDescent="0.25">
      <c r="A24" t="s">
        <v>35</v>
      </c>
      <c r="B24" s="16">
        <f>SUBTOTAL(109,Tabell_Kalv[2019])</f>
        <v>14891</v>
      </c>
      <c r="C24" s="16">
        <f>SUBTOTAL(109,Tabell_Kalv[2020])</f>
        <v>13468</v>
      </c>
      <c r="D24" s="16">
        <f>SUBTOTAL(109,Tabell_Kalv[2021])</f>
        <v>11499</v>
      </c>
      <c r="E24" s="16">
        <f>SUBTOTAL(109,Tabell_Kalv[2022])</f>
        <v>11474</v>
      </c>
      <c r="F24" s="16">
        <f>SUBTOTAL(109,Tabell_Kalv[Kvartal 1 2023])</f>
        <v>2815</v>
      </c>
      <c r="G24" s="16">
        <f>SUBTOTAL(109,Tabell_Kalv[Kvartal 2 2023])</f>
        <v>2454</v>
      </c>
      <c r="H24" s="16">
        <f>SUBTOTAL(109,Tabell_Kalv[Kvartal 3 2023])</f>
        <v>2730</v>
      </c>
      <c r="I24" s="16">
        <f>SUBTOTAL(109,Tabell_Kalv[Kvartal 4 2023])</f>
        <v>2978</v>
      </c>
      <c r="J24" s="16">
        <f>SUBTOTAL(109,Tabell_Kalv[2023])</f>
        <v>10977</v>
      </c>
      <c r="K24" s="16">
        <f>SUBTOTAL(109,Tabell_Kalv[Kvartal 1 2024])</f>
        <v>2823</v>
      </c>
      <c r="L24" s="16">
        <f>SUBTOTAL(109,Tabell_Kalv[Kvartal 2 2024])</f>
        <v>2474</v>
      </c>
      <c r="M24" s="16">
        <f>SUBTOTAL(109,Tabell_Kalv[Kvartal 3 2024])</f>
        <v>2291</v>
      </c>
      <c r="N24" s="16">
        <f>SUBTOTAL(109,Tabell_Kalv[Kvartal 4 2024])</f>
        <v>2354</v>
      </c>
      <c r="O24" s="16">
        <f>SUBTOTAL(109,Tabell_Kalv[2024])</f>
        <v>9942</v>
      </c>
      <c r="P24" s="17">
        <f>N24/I24-1</f>
        <v>-0.20953660174613831</v>
      </c>
      <c r="Q24" s="17">
        <f>O24/SUM(F24:I24)-1</f>
        <v>-9.4288056846132839E-2</v>
      </c>
      <c r="R24" s="18">
        <f>SUBTOTAL(109,Tabell_Kalv[Procentuell andel 2024*])</f>
        <v>0.99999999999999989</v>
      </c>
    </row>
    <row r="25" spans="1:18" ht="15" customHeight="1" x14ac:dyDescent="0.25">
      <c r="A25" t="s">
        <v>65</v>
      </c>
    </row>
    <row r="26" spans="1:18" ht="15" customHeight="1" x14ac:dyDescent="0.25">
      <c r="A26" t="s">
        <v>37</v>
      </c>
    </row>
    <row r="27" spans="1:18" ht="15" customHeight="1" x14ac:dyDescent="0.25">
      <c r="A27" t="s">
        <v>66</v>
      </c>
    </row>
    <row r="28" spans="1:18" ht="15" customHeight="1" x14ac:dyDescent="0.25">
      <c r="A28" t="s">
        <v>39</v>
      </c>
    </row>
    <row r="29" spans="1:18" ht="15" customHeight="1" x14ac:dyDescent="0.25"/>
    <row r="30" spans="1:18" ht="15" customHeight="1" x14ac:dyDescent="0.25"/>
    <row r="31" spans="1:18" ht="15" customHeight="1" x14ac:dyDescent="0.25"/>
    <row r="32" spans="1:1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9699-59EA-4780-B4F5-FC02AC4F4548}">
  <sheetPr codeName="flFår">
    <pageSetUpPr fitToPage="1"/>
  </sheetPr>
  <dimension ref="A1:R92"/>
  <sheetViews>
    <sheetView workbookViewId="0">
      <selection activeCell="A2" sqref="A2"/>
    </sheetView>
  </sheetViews>
  <sheetFormatPr defaultColWidth="9.140625" defaultRowHeight="12" x14ac:dyDescent="0.2"/>
  <cols>
    <col min="1" max="1" width="27" style="23" customWidth="1"/>
    <col min="2" max="15" width="8.28515625" style="23" customWidth="1"/>
    <col min="16" max="16" width="9.28515625" style="23" customWidth="1"/>
    <col min="17" max="17" width="10.140625" style="23" customWidth="1"/>
    <col min="18" max="18" width="10" style="23" customWidth="1"/>
    <col min="19" max="16384" width="9.140625" style="23"/>
  </cols>
  <sheetData>
    <row r="1" spans="1:18" ht="92.25" customHeight="1" x14ac:dyDescent="0.25">
      <c r="A1" s="1" t="s">
        <v>67</v>
      </c>
      <c r="B1"/>
      <c r="C1" s="1"/>
      <c r="E1"/>
      <c r="F1"/>
      <c r="G1"/>
      <c r="H1"/>
      <c r="I1"/>
      <c r="J1" s="1"/>
      <c r="K1"/>
      <c r="L1"/>
      <c r="M1"/>
      <c r="N1"/>
      <c r="O1"/>
      <c r="P1"/>
      <c r="Q1"/>
      <c r="R1" s="2"/>
    </row>
    <row r="2" spans="1:18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25">
      <c r="A3" s="9" t="s">
        <v>68</v>
      </c>
      <c r="B3" s="10">
        <v>3227</v>
      </c>
      <c r="C3" s="10">
        <v>2770</v>
      </c>
      <c r="D3" s="10">
        <v>3087</v>
      </c>
      <c r="E3" s="10">
        <v>2875</v>
      </c>
      <c r="F3" s="11">
        <v>320</v>
      </c>
      <c r="G3" s="11">
        <v>319</v>
      </c>
      <c r="H3" s="11">
        <v>503</v>
      </c>
      <c r="I3" s="11">
        <v>367</v>
      </c>
      <c r="J3" s="10">
        <v>1509</v>
      </c>
      <c r="K3" s="12">
        <v>249</v>
      </c>
      <c r="L3" s="12">
        <v>356</v>
      </c>
      <c r="M3" s="12">
        <v>462</v>
      </c>
      <c r="N3" s="12">
        <v>353</v>
      </c>
      <c r="O3" s="10">
        <v>1420</v>
      </c>
      <c r="P3" s="13">
        <v>-3.8147138964577665E-2</v>
      </c>
      <c r="Q3" s="13">
        <v>-5.8979456593770685E-2</v>
      </c>
      <c r="R3" s="14">
        <v>7.0619010438683306E-3</v>
      </c>
    </row>
    <row r="4" spans="1:18" ht="15" customHeight="1" x14ac:dyDescent="0.25">
      <c r="A4" s="9" t="s">
        <v>61</v>
      </c>
      <c r="B4" s="10">
        <v>1952</v>
      </c>
      <c r="C4" s="10">
        <v>2098</v>
      </c>
      <c r="D4" s="10">
        <v>1923</v>
      </c>
      <c r="E4" s="10">
        <v>1715</v>
      </c>
      <c r="F4" s="11">
        <v>525</v>
      </c>
      <c r="G4" s="11">
        <v>207</v>
      </c>
      <c r="H4" s="11">
        <v>398</v>
      </c>
      <c r="I4" s="11">
        <v>724</v>
      </c>
      <c r="J4" s="10">
        <v>1854</v>
      </c>
      <c r="K4" s="12">
        <v>358</v>
      </c>
      <c r="L4" s="12">
        <v>186</v>
      </c>
      <c r="M4" s="12">
        <v>349</v>
      </c>
      <c r="N4" s="12">
        <v>588</v>
      </c>
      <c r="O4" s="10">
        <v>1481</v>
      </c>
      <c r="P4" s="13">
        <v>-0.18784530386740328</v>
      </c>
      <c r="Q4" s="13">
        <v>-0.20118662351672056</v>
      </c>
      <c r="R4" s="14">
        <v>7.3652643985697161E-3</v>
      </c>
    </row>
    <row r="5" spans="1:18" ht="15" customHeight="1" x14ac:dyDescent="0.25">
      <c r="A5" s="9" t="s">
        <v>62</v>
      </c>
      <c r="B5" s="10">
        <v>1170</v>
      </c>
      <c r="C5" s="10">
        <v>990</v>
      </c>
      <c r="D5" s="10">
        <v>1234</v>
      </c>
      <c r="E5" s="10">
        <v>1885</v>
      </c>
      <c r="F5" s="11">
        <v>265</v>
      </c>
      <c r="G5" s="11">
        <v>302</v>
      </c>
      <c r="H5" s="11">
        <v>674</v>
      </c>
      <c r="I5" s="11">
        <v>1057</v>
      </c>
      <c r="J5" s="10">
        <v>2298</v>
      </c>
      <c r="K5" s="12">
        <v>287</v>
      </c>
      <c r="L5" s="12">
        <v>117</v>
      </c>
      <c r="M5" s="12">
        <v>368</v>
      </c>
      <c r="N5" s="12">
        <v>906</v>
      </c>
      <c r="O5" s="10">
        <v>1678</v>
      </c>
      <c r="P5" s="13">
        <v>-0.1428571428571429</v>
      </c>
      <c r="Q5" s="13">
        <v>-0.26979982593559615</v>
      </c>
      <c r="R5" s="14">
        <v>8.3449788391627179E-3</v>
      </c>
    </row>
    <row r="6" spans="1:18" ht="15" customHeight="1" x14ac:dyDescent="0.25">
      <c r="A6" s="9" t="s">
        <v>44</v>
      </c>
      <c r="B6" s="10">
        <v>2093</v>
      </c>
      <c r="C6" s="10">
        <v>2152</v>
      </c>
      <c r="D6" s="10">
        <v>4381</v>
      </c>
      <c r="E6" s="10">
        <v>5280</v>
      </c>
      <c r="F6" s="11">
        <v>1154</v>
      </c>
      <c r="G6" s="11">
        <v>826</v>
      </c>
      <c r="H6" s="11">
        <v>1588</v>
      </c>
      <c r="I6" s="11">
        <v>1937</v>
      </c>
      <c r="J6" s="10">
        <v>5505</v>
      </c>
      <c r="K6" s="12">
        <v>1036</v>
      </c>
      <c r="L6" s="12">
        <v>856</v>
      </c>
      <c r="M6" s="12">
        <v>1412</v>
      </c>
      <c r="N6" s="12">
        <v>1986</v>
      </c>
      <c r="O6" s="10">
        <v>5290</v>
      </c>
      <c r="P6" s="13">
        <v>2.5296850800206494E-2</v>
      </c>
      <c r="Q6" s="13">
        <v>-3.9055404178020003E-2</v>
      </c>
      <c r="R6" s="14">
        <v>2.6308067973284131E-2</v>
      </c>
    </row>
    <row r="7" spans="1:18" ht="15" customHeight="1" x14ac:dyDescent="0.25">
      <c r="A7" s="9" t="s">
        <v>46</v>
      </c>
      <c r="B7" s="10">
        <v>1254</v>
      </c>
      <c r="C7" s="10">
        <v>1125</v>
      </c>
      <c r="D7" s="10">
        <v>1135</v>
      </c>
      <c r="E7" s="10">
        <v>1107</v>
      </c>
      <c r="F7" s="11">
        <v>162</v>
      </c>
      <c r="G7" s="11">
        <v>296</v>
      </c>
      <c r="H7" s="11">
        <v>315</v>
      </c>
      <c r="I7" s="11">
        <v>262</v>
      </c>
      <c r="J7" s="10">
        <v>1035</v>
      </c>
      <c r="K7" s="12">
        <v>170</v>
      </c>
      <c r="L7" s="12">
        <v>225</v>
      </c>
      <c r="M7" s="12">
        <v>199</v>
      </c>
      <c r="N7" s="12">
        <v>266</v>
      </c>
      <c r="O7" s="10">
        <v>860</v>
      </c>
      <c r="P7" s="13">
        <v>1.5267175572519109E-2</v>
      </c>
      <c r="Q7" s="13">
        <v>-0.16908212560386471</v>
      </c>
      <c r="R7" s="14">
        <v>4.2769259843146229E-3</v>
      </c>
    </row>
    <row r="8" spans="1:18" ht="15" customHeight="1" x14ac:dyDescent="0.25">
      <c r="A8" s="9" t="s">
        <v>23</v>
      </c>
      <c r="B8" s="10">
        <v>6049</v>
      </c>
      <c r="C8" s="10">
        <v>2207</v>
      </c>
      <c r="D8" s="10">
        <v>1017</v>
      </c>
      <c r="E8" s="10">
        <v>1546</v>
      </c>
      <c r="F8" s="11">
        <v>349</v>
      </c>
      <c r="G8" s="11">
        <v>229</v>
      </c>
      <c r="H8" s="11">
        <v>381</v>
      </c>
      <c r="I8" s="11">
        <v>1063</v>
      </c>
      <c r="J8" s="10">
        <v>2022</v>
      </c>
      <c r="K8" s="12">
        <v>287</v>
      </c>
      <c r="L8" s="12">
        <v>280</v>
      </c>
      <c r="M8" s="12">
        <v>603</v>
      </c>
      <c r="N8" s="12">
        <v>1045</v>
      </c>
      <c r="O8" s="10">
        <v>2215</v>
      </c>
      <c r="P8" s="13">
        <v>-1.6933207902163683E-2</v>
      </c>
      <c r="Q8" s="13">
        <v>9.5450049455984232E-2</v>
      </c>
      <c r="R8" s="14">
        <v>1.1015570994484756E-2</v>
      </c>
    </row>
    <row r="9" spans="1:18" ht="15" customHeight="1" x14ac:dyDescent="0.25">
      <c r="A9" s="9" t="s">
        <v>47</v>
      </c>
      <c r="B9" s="10">
        <v>1117</v>
      </c>
      <c r="C9" s="10">
        <v>1507</v>
      </c>
      <c r="D9" s="10">
        <v>1716</v>
      </c>
      <c r="E9" s="10">
        <v>1512</v>
      </c>
      <c r="F9" s="11">
        <v>231</v>
      </c>
      <c r="G9" s="11">
        <v>168</v>
      </c>
      <c r="H9" s="11">
        <v>412</v>
      </c>
      <c r="I9" s="11">
        <v>723</v>
      </c>
      <c r="J9" s="10">
        <v>1534</v>
      </c>
      <c r="K9" s="12">
        <v>330</v>
      </c>
      <c r="L9" s="12">
        <v>244</v>
      </c>
      <c r="M9" s="12">
        <v>553</v>
      </c>
      <c r="N9" s="12">
        <v>801</v>
      </c>
      <c r="O9" s="10">
        <v>1928</v>
      </c>
      <c r="P9" s="13">
        <v>0.10788381742738595</v>
      </c>
      <c r="Q9" s="13">
        <v>0.25684485006518898</v>
      </c>
      <c r="R9" s="14">
        <v>9.5882712764634795E-3</v>
      </c>
    </row>
    <row r="10" spans="1:18" ht="15" customHeight="1" x14ac:dyDescent="0.25">
      <c r="A10" s="9" t="s">
        <v>25</v>
      </c>
      <c r="B10" s="10">
        <v>23249</v>
      </c>
      <c r="C10" s="10">
        <v>20680</v>
      </c>
      <c r="D10" s="10">
        <v>21982</v>
      </c>
      <c r="E10" s="10">
        <v>33808</v>
      </c>
      <c r="F10" s="11">
        <v>4250</v>
      </c>
      <c r="G10" s="11">
        <v>6352</v>
      </c>
      <c r="H10" s="11">
        <v>8421</v>
      </c>
      <c r="I10" s="11">
        <v>8502</v>
      </c>
      <c r="J10" s="10">
        <v>27525</v>
      </c>
      <c r="K10" s="12">
        <v>3928</v>
      </c>
      <c r="L10" s="12">
        <v>5289</v>
      </c>
      <c r="M10" s="12">
        <v>6464</v>
      </c>
      <c r="N10" s="12">
        <v>7384</v>
      </c>
      <c r="O10" s="10">
        <v>23065</v>
      </c>
      <c r="P10" s="13">
        <v>-0.13149847094801226</v>
      </c>
      <c r="Q10" s="13">
        <v>-0.16203451407811076</v>
      </c>
      <c r="R10" s="14">
        <v>0.11470616026536834</v>
      </c>
    </row>
    <row r="11" spans="1:18" ht="15" customHeight="1" x14ac:dyDescent="0.25">
      <c r="A11" s="9" t="s">
        <v>26</v>
      </c>
      <c r="B11" s="10">
        <v>20300</v>
      </c>
      <c r="C11" s="10">
        <v>11043</v>
      </c>
      <c r="D11" s="10">
        <v>11988</v>
      </c>
      <c r="E11" s="10">
        <v>4730</v>
      </c>
      <c r="F11" s="11">
        <v>2113</v>
      </c>
      <c r="G11" s="11">
        <v>3573</v>
      </c>
      <c r="H11" s="11">
        <v>4751</v>
      </c>
      <c r="I11" s="11">
        <v>4491</v>
      </c>
      <c r="J11" s="10">
        <v>14928</v>
      </c>
      <c r="K11" s="12">
        <v>2851</v>
      </c>
      <c r="L11" s="12">
        <v>4148</v>
      </c>
      <c r="M11" s="12">
        <v>5025</v>
      </c>
      <c r="N11" s="12">
        <v>4510</v>
      </c>
      <c r="O11" s="10">
        <v>16534</v>
      </c>
      <c r="P11" s="13">
        <v>4.2306835894010408E-3</v>
      </c>
      <c r="Q11" s="13">
        <v>0.107583065380493</v>
      </c>
      <c r="R11" s="14">
        <v>8.2226388633323225E-2</v>
      </c>
    </row>
    <row r="12" spans="1:18" ht="15" customHeight="1" x14ac:dyDescent="0.25">
      <c r="A12" s="9" t="s">
        <v>69</v>
      </c>
      <c r="B12" s="10">
        <v>5362</v>
      </c>
      <c r="C12" s="10">
        <v>5312</v>
      </c>
      <c r="D12" s="10">
        <v>5662</v>
      </c>
      <c r="E12" s="10">
        <v>6303</v>
      </c>
      <c r="F12" s="11">
        <v>808</v>
      </c>
      <c r="G12" s="11">
        <v>690</v>
      </c>
      <c r="H12" s="11">
        <v>1762</v>
      </c>
      <c r="I12" s="11">
        <v>3541</v>
      </c>
      <c r="J12" s="10">
        <v>6801</v>
      </c>
      <c r="K12" s="12">
        <v>744</v>
      </c>
      <c r="L12" s="12">
        <v>562</v>
      </c>
      <c r="M12" s="12">
        <v>1326</v>
      </c>
      <c r="N12" s="12">
        <v>3248</v>
      </c>
      <c r="O12" s="10">
        <v>5880</v>
      </c>
      <c r="P12" s="13">
        <v>-8.2744987291725525E-2</v>
      </c>
      <c r="Q12" s="13">
        <v>-0.13542126157917955</v>
      </c>
      <c r="R12" s="14">
        <v>2.924223812531393E-2</v>
      </c>
    </row>
    <row r="13" spans="1:18" ht="15" customHeight="1" x14ac:dyDescent="0.25">
      <c r="A13" s="9" t="s">
        <v>70</v>
      </c>
      <c r="B13" s="10">
        <v>3664</v>
      </c>
      <c r="C13" s="10">
        <v>3842</v>
      </c>
      <c r="D13" s="10">
        <v>3621</v>
      </c>
      <c r="E13" s="10">
        <v>3650</v>
      </c>
      <c r="F13" s="11">
        <v>324</v>
      </c>
      <c r="G13" s="11">
        <v>198</v>
      </c>
      <c r="H13" s="11">
        <v>996</v>
      </c>
      <c r="I13" s="11">
        <v>1821</v>
      </c>
      <c r="J13" s="10">
        <v>3339</v>
      </c>
      <c r="K13" s="12">
        <v>205</v>
      </c>
      <c r="L13" s="12">
        <v>280</v>
      </c>
      <c r="M13" s="12">
        <v>794</v>
      </c>
      <c r="N13" s="12">
        <v>1465</v>
      </c>
      <c r="O13" s="10">
        <v>2744</v>
      </c>
      <c r="P13" s="13">
        <v>-0.19549697968149371</v>
      </c>
      <c r="Q13" s="13">
        <v>-0.17819706498951782</v>
      </c>
      <c r="R13" s="14">
        <v>1.3646377791813168E-2</v>
      </c>
    </row>
    <row r="14" spans="1:18" ht="15" customHeight="1" x14ac:dyDescent="0.25">
      <c r="A14" s="9" t="s">
        <v>49</v>
      </c>
      <c r="B14" s="10">
        <v>3370</v>
      </c>
      <c r="C14" s="10">
        <v>3126</v>
      </c>
      <c r="D14" s="10">
        <v>3102</v>
      </c>
      <c r="E14" s="10">
        <v>3271</v>
      </c>
      <c r="F14" s="11">
        <v>174</v>
      </c>
      <c r="G14" s="11">
        <v>306</v>
      </c>
      <c r="H14" s="11">
        <v>1146</v>
      </c>
      <c r="I14" s="11">
        <v>1406</v>
      </c>
      <c r="J14" s="10">
        <v>3032</v>
      </c>
      <c r="K14" s="12">
        <v>223</v>
      </c>
      <c r="L14" s="12">
        <v>401</v>
      </c>
      <c r="M14" s="12">
        <v>1028</v>
      </c>
      <c r="N14" s="12">
        <v>1397</v>
      </c>
      <c r="O14" s="10">
        <v>3049</v>
      </c>
      <c r="P14" s="13">
        <v>-6.4011379800853474E-3</v>
      </c>
      <c r="Q14" s="13">
        <v>5.6068601583112443E-3</v>
      </c>
      <c r="R14" s="14">
        <v>1.5163194565320098E-2</v>
      </c>
    </row>
    <row r="15" spans="1:18" ht="15" customHeight="1" x14ac:dyDescent="0.25">
      <c r="A15" s="9" t="s">
        <v>50</v>
      </c>
      <c r="B15" s="10">
        <v>1583</v>
      </c>
      <c r="C15" s="10">
        <v>1695</v>
      </c>
      <c r="D15" s="10">
        <v>1319</v>
      </c>
      <c r="E15" s="10">
        <v>1085</v>
      </c>
      <c r="F15" s="11">
        <v>30</v>
      </c>
      <c r="G15" s="11">
        <v>89</v>
      </c>
      <c r="H15" s="11">
        <v>262</v>
      </c>
      <c r="I15" s="11">
        <v>741</v>
      </c>
      <c r="J15" s="10">
        <v>1122</v>
      </c>
      <c r="K15" s="12">
        <v>62</v>
      </c>
      <c r="L15" s="12">
        <v>107</v>
      </c>
      <c r="M15" s="12">
        <v>192</v>
      </c>
      <c r="N15" s="12">
        <v>556</v>
      </c>
      <c r="O15" s="10">
        <v>917</v>
      </c>
      <c r="P15" s="13">
        <v>-0.24966261808367074</v>
      </c>
      <c r="Q15" s="13">
        <v>-0.1827094474153298</v>
      </c>
      <c r="R15" s="14">
        <v>4.5603966600191968E-3</v>
      </c>
    </row>
    <row r="16" spans="1:18" ht="15" customHeight="1" x14ac:dyDescent="0.25">
      <c r="A16" s="9" t="s">
        <v>30</v>
      </c>
      <c r="B16" s="10">
        <v>33051</v>
      </c>
      <c r="C16" s="10">
        <v>30838</v>
      </c>
      <c r="D16" s="10">
        <v>29622</v>
      </c>
      <c r="E16" s="10">
        <v>28380</v>
      </c>
      <c r="F16" s="11">
        <v>5479</v>
      </c>
      <c r="G16" s="11">
        <v>7264</v>
      </c>
      <c r="H16" s="11">
        <v>7950</v>
      </c>
      <c r="I16" s="11">
        <v>9568</v>
      </c>
      <c r="J16" s="10">
        <v>30261</v>
      </c>
      <c r="K16" s="12">
        <v>5163</v>
      </c>
      <c r="L16" s="12">
        <v>6253</v>
      </c>
      <c r="M16" s="12">
        <v>7351</v>
      </c>
      <c r="N16" s="12">
        <v>8277</v>
      </c>
      <c r="O16" s="10">
        <v>27044</v>
      </c>
      <c r="P16" s="13">
        <v>-0.13492892976588633</v>
      </c>
      <c r="Q16" s="13">
        <v>-0.10630844981990017</v>
      </c>
      <c r="R16" s="14">
        <v>0.13449440269744728</v>
      </c>
    </row>
    <row r="17" spans="1:18" ht="15" customHeight="1" x14ac:dyDescent="0.25">
      <c r="A17" s="9" t="s">
        <v>31</v>
      </c>
      <c r="B17" s="10">
        <v>3442</v>
      </c>
      <c r="C17" s="10">
        <v>3049</v>
      </c>
      <c r="D17" s="10">
        <v>3443</v>
      </c>
      <c r="E17" s="10">
        <v>3344</v>
      </c>
      <c r="F17" s="11">
        <v>730</v>
      </c>
      <c r="G17" s="11">
        <v>653</v>
      </c>
      <c r="H17" s="11">
        <v>1007</v>
      </c>
      <c r="I17" s="11">
        <v>1051</v>
      </c>
      <c r="J17" s="10">
        <v>3441</v>
      </c>
      <c r="K17" s="12">
        <v>721</v>
      </c>
      <c r="L17" s="12">
        <v>321</v>
      </c>
      <c r="M17" s="12">
        <v>717</v>
      </c>
      <c r="N17" s="12">
        <v>690</v>
      </c>
      <c r="O17" s="10">
        <v>2449</v>
      </c>
      <c r="P17" s="13">
        <v>-0.3434823977164605</v>
      </c>
      <c r="Q17" s="13">
        <v>-0.28828828828828834</v>
      </c>
      <c r="R17" s="14">
        <v>1.2179292715798269E-2</v>
      </c>
    </row>
    <row r="18" spans="1:18" ht="15" customHeight="1" x14ac:dyDescent="0.25">
      <c r="A18" s="9" t="s">
        <v>64</v>
      </c>
      <c r="B18" s="10">
        <v>2461</v>
      </c>
      <c r="C18" s="10">
        <v>2274</v>
      </c>
      <c r="D18" s="10">
        <v>2344</v>
      </c>
      <c r="E18" s="10">
        <v>2966</v>
      </c>
      <c r="F18" s="11">
        <v>315</v>
      </c>
      <c r="G18" s="11">
        <v>299</v>
      </c>
      <c r="H18" s="11">
        <v>1058</v>
      </c>
      <c r="I18" s="11">
        <v>2038</v>
      </c>
      <c r="J18" s="10">
        <v>3710</v>
      </c>
      <c r="K18" s="12">
        <v>388</v>
      </c>
      <c r="L18" s="12">
        <v>290</v>
      </c>
      <c r="M18" s="12">
        <v>936</v>
      </c>
      <c r="N18" s="12">
        <v>1748</v>
      </c>
      <c r="O18" s="10">
        <v>3362</v>
      </c>
      <c r="P18" s="13">
        <v>-0.14229636898920506</v>
      </c>
      <c r="Q18" s="13">
        <v>-9.3800539083557899E-2</v>
      </c>
      <c r="R18" s="14">
        <v>1.6719796696820652E-2</v>
      </c>
    </row>
    <row r="19" spans="1:18" ht="15" customHeight="1" x14ac:dyDescent="0.25">
      <c r="A19" s="9" t="s">
        <v>53</v>
      </c>
      <c r="B19" s="10">
        <v>87275</v>
      </c>
      <c r="C19" s="10">
        <v>95301</v>
      </c>
      <c r="D19" s="10">
        <v>87156</v>
      </c>
      <c r="E19" s="10">
        <v>84407</v>
      </c>
      <c r="F19" s="11">
        <v>14398</v>
      </c>
      <c r="G19" s="11">
        <v>19617</v>
      </c>
      <c r="H19" s="11">
        <v>24576</v>
      </c>
      <c r="I19" s="11">
        <v>24401</v>
      </c>
      <c r="J19" s="10">
        <v>82992</v>
      </c>
      <c r="K19" s="12">
        <v>12814</v>
      </c>
      <c r="L19" s="12">
        <v>16049</v>
      </c>
      <c r="M19" s="12">
        <v>20936</v>
      </c>
      <c r="N19" s="12">
        <v>22055</v>
      </c>
      <c r="O19" s="10">
        <v>71854</v>
      </c>
      <c r="P19" s="13">
        <v>-9.6143600672103591E-2</v>
      </c>
      <c r="Q19" s="13">
        <v>-0.13420570657412767</v>
      </c>
      <c r="R19" s="14">
        <v>0.35734213915923591</v>
      </c>
    </row>
    <row r="20" spans="1:18" ht="15" customHeight="1" x14ac:dyDescent="0.25">
      <c r="A20" s="9" t="s">
        <v>71</v>
      </c>
      <c r="B20" s="10">
        <v>10512</v>
      </c>
      <c r="C20" s="10">
        <v>10399</v>
      </c>
      <c r="D20" s="10">
        <v>9746</v>
      </c>
      <c r="E20" s="10">
        <v>8704</v>
      </c>
      <c r="F20" s="11">
        <v>1709</v>
      </c>
      <c r="G20" s="11">
        <v>1021</v>
      </c>
      <c r="H20" s="11">
        <v>2596</v>
      </c>
      <c r="I20" s="11">
        <v>2937</v>
      </c>
      <c r="J20" s="10">
        <v>8263</v>
      </c>
      <c r="K20" s="12">
        <v>1363</v>
      </c>
      <c r="L20" s="12">
        <v>851</v>
      </c>
      <c r="M20" s="12">
        <v>1984</v>
      </c>
      <c r="N20" s="12">
        <v>2629</v>
      </c>
      <c r="O20" s="10">
        <v>6827</v>
      </c>
      <c r="P20" s="13">
        <v>-0.10486891385767794</v>
      </c>
      <c r="Q20" s="13">
        <v>-0.17378676025656536</v>
      </c>
      <c r="R20" s="14">
        <v>3.3951829877809217E-2</v>
      </c>
    </row>
    <row r="21" spans="1:18" ht="15" customHeight="1" x14ac:dyDescent="0.25">
      <c r="A21" s="9" t="s">
        <v>54</v>
      </c>
      <c r="B21" s="10">
        <v>916</v>
      </c>
      <c r="C21" s="10">
        <v>949</v>
      </c>
      <c r="D21" s="10">
        <v>1133</v>
      </c>
      <c r="E21" s="10">
        <v>1019</v>
      </c>
      <c r="F21" s="11">
        <v>157</v>
      </c>
      <c r="G21" s="11">
        <v>109</v>
      </c>
      <c r="H21" s="11">
        <v>404</v>
      </c>
      <c r="I21" s="11">
        <v>447</v>
      </c>
      <c r="J21" s="10">
        <v>1117</v>
      </c>
      <c r="K21" s="12">
        <v>222</v>
      </c>
      <c r="L21" s="12">
        <v>131</v>
      </c>
      <c r="M21" s="12">
        <v>199</v>
      </c>
      <c r="N21" s="12">
        <v>364</v>
      </c>
      <c r="O21" s="10">
        <v>916</v>
      </c>
      <c r="P21" s="13">
        <v>-0.18568232662192397</v>
      </c>
      <c r="Q21" s="13">
        <v>-0.17994628469113694</v>
      </c>
      <c r="R21" s="14">
        <v>4.5554234902699933E-3</v>
      </c>
    </row>
    <row r="22" spans="1:18" ht="15" customHeight="1" x14ac:dyDescent="0.25">
      <c r="A22" s="9" t="s">
        <v>55</v>
      </c>
      <c r="B22" s="10">
        <v>2054</v>
      </c>
      <c r="C22" s="10">
        <v>2068</v>
      </c>
      <c r="D22" s="10">
        <v>2178</v>
      </c>
      <c r="E22" s="10">
        <v>2468</v>
      </c>
      <c r="F22" s="11">
        <v>225</v>
      </c>
      <c r="G22" s="11"/>
      <c r="H22" s="11"/>
      <c r="I22" s="11">
        <v>62</v>
      </c>
      <c r="J22" s="10">
        <v>287</v>
      </c>
      <c r="K22" s="12">
        <v>95</v>
      </c>
      <c r="L22" s="12">
        <v>144</v>
      </c>
      <c r="M22" s="12">
        <v>202</v>
      </c>
      <c r="N22" s="12">
        <v>543</v>
      </c>
      <c r="O22" s="10">
        <v>984</v>
      </c>
      <c r="P22" s="13">
        <v>7.758064516129032</v>
      </c>
      <c r="Q22" s="13">
        <v>2.4285714285714284</v>
      </c>
      <c r="R22" s="14">
        <v>4.893599033215801E-3</v>
      </c>
    </row>
    <row r="23" spans="1:18" ht="15" customHeight="1" x14ac:dyDescent="0.25">
      <c r="A23" s="9" t="s">
        <v>72</v>
      </c>
      <c r="B23" s="10">
        <v>923</v>
      </c>
      <c r="C23" s="10">
        <v>1147</v>
      </c>
      <c r="D23" s="10">
        <v>1197</v>
      </c>
      <c r="E23" s="10">
        <v>1186</v>
      </c>
      <c r="F23" s="11">
        <v>141</v>
      </c>
      <c r="G23" s="11">
        <v>42</v>
      </c>
      <c r="H23" s="11">
        <v>244</v>
      </c>
      <c r="I23" s="11">
        <v>573</v>
      </c>
      <c r="J23" s="10">
        <v>1000</v>
      </c>
      <c r="K23" s="12">
        <v>160</v>
      </c>
      <c r="L23" s="12">
        <v>76</v>
      </c>
      <c r="M23" s="12">
        <v>272</v>
      </c>
      <c r="N23" s="12">
        <v>621</v>
      </c>
      <c r="O23" s="10">
        <v>1129</v>
      </c>
      <c r="P23" s="13">
        <v>8.3769633507853491E-2</v>
      </c>
      <c r="Q23" s="13">
        <v>0.129</v>
      </c>
      <c r="R23" s="14">
        <v>5.614708646850243E-3</v>
      </c>
    </row>
    <row r="24" spans="1:18" ht="15" customHeight="1" x14ac:dyDescent="0.25">
      <c r="A24" s="9" t="s">
        <v>73</v>
      </c>
      <c r="B24" s="10">
        <v>1320</v>
      </c>
      <c r="C24" s="10">
        <v>1567</v>
      </c>
      <c r="D24" s="10">
        <v>1425</v>
      </c>
      <c r="E24" s="10">
        <v>1174</v>
      </c>
      <c r="F24" s="11">
        <v>162</v>
      </c>
      <c r="G24" s="11">
        <v>34</v>
      </c>
      <c r="H24" s="11">
        <v>350</v>
      </c>
      <c r="I24" s="11">
        <v>698</v>
      </c>
      <c r="J24" s="10">
        <v>1244</v>
      </c>
      <c r="K24" s="12">
        <v>111</v>
      </c>
      <c r="L24" s="12">
        <v>19</v>
      </c>
      <c r="M24" s="12">
        <v>338</v>
      </c>
      <c r="N24" s="12">
        <v>609</v>
      </c>
      <c r="O24" s="10">
        <v>1077</v>
      </c>
      <c r="P24" s="13">
        <v>-0.1275071633237822</v>
      </c>
      <c r="Q24" s="13">
        <v>-0.13424437299035374</v>
      </c>
      <c r="R24" s="14">
        <v>5.3561038198916841E-3</v>
      </c>
    </row>
    <row r="25" spans="1:18" ht="15" customHeight="1" x14ac:dyDescent="0.25">
      <c r="A25" s="9" t="s">
        <v>56</v>
      </c>
      <c r="B25" s="10">
        <v>1574</v>
      </c>
      <c r="C25" s="10">
        <v>1531</v>
      </c>
      <c r="D25" s="10">
        <v>1396</v>
      </c>
      <c r="E25" s="10">
        <v>1047</v>
      </c>
      <c r="F25" s="11">
        <v>117</v>
      </c>
      <c r="G25" s="11">
        <v>65</v>
      </c>
      <c r="H25" s="11">
        <v>341</v>
      </c>
      <c r="I25" s="11">
        <v>517</v>
      </c>
      <c r="J25" s="10">
        <v>1040</v>
      </c>
      <c r="K25" s="12">
        <v>121</v>
      </c>
      <c r="L25" s="12">
        <v>65</v>
      </c>
      <c r="M25" s="12">
        <v>239</v>
      </c>
      <c r="N25" s="12">
        <v>494</v>
      </c>
      <c r="O25" s="10">
        <v>919</v>
      </c>
      <c r="P25" s="13">
        <v>-4.4487427466150864E-2</v>
      </c>
      <c r="Q25" s="13">
        <v>-0.11634615384615388</v>
      </c>
      <c r="R25" s="14">
        <v>4.5703429995176022E-3</v>
      </c>
    </row>
    <row r="26" spans="1:18" ht="15" customHeight="1" x14ac:dyDescent="0.25">
      <c r="A26" s="9" t="s">
        <v>74</v>
      </c>
      <c r="B26" s="10">
        <v>1155</v>
      </c>
      <c r="C26" s="10">
        <v>1286</v>
      </c>
      <c r="D26" s="10">
        <v>1410</v>
      </c>
      <c r="E26" s="10">
        <v>1457</v>
      </c>
      <c r="F26" s="11">
        <v>168</v>
      </c>
      <c r="G26" s="11">
        <v>153</v>
      </c>
      <c r="H26" s="11">
        <v>503</v>
      </c>
      <c r="I26" s="11">
        <v>813</v>
      </c>
      <c r="J26" s="10">
        <v>1637</v>
      </c>
      <c r="K26" s="12">
        <v>157</v>
      </c>
      <c r="L26" s="12">
        <v>106</v>
      </c>
      <c r="M26" s="12">
        <v>391</v>
      </c>
      <c r="N26" s="12">
        <v>670</v>
      </c>
      <c r="O26" s="10">
        <v>1324</v>
      </c>
      <c r="P26" s="13">
        <v>-0.17589175891758912</v>
      </c>
      <c r="Q26" s="13">
        <v>-0.19120342089187536</v>
      </c>
      <c r="R26" s="14">
        <v>6.5844767479448377E-3</v>
      </c>
    </row>
    <row r="27" spans="1:18" ht="15" customHeight="1" x14ac:dyDescent="0.25">
      <c r="A27" s="9" t="s">
        <v>75</v>
      </c>
      <c r="B27" s="10">
        <v>3430</v>
      </c>
      <c r="C27" s="10">
        <v>4342</v>
      </c>
      <c r="D27" s="10">
        <v>4327</v>
      </c>
      <c r="E27" s="10">
        <v>3950</v>
      </c>
      <c r="F27" s="11">
        <v>497</v>
      </c>
      <c r="G27" s="11">
        <v>462</v>
      </c>
      <c r="H27" s="11">
        <v>1096</v>
      </c>
      <c r="I27" s="11">
        <v>1914</v>
      </c>
      <c r="J27" s="10">
        <v>3969</v>
      </c>
      <c r="K27" s="12">
        <v>406</v>
      </c>
      <c r="L27" s="12">
        <v>319</v>
      </c>
      <c r="M27" s="12">
        <v>977</v>
      </c>
      <c r="N27" s="12">
        <v>1835</v>
      </c>
      <c r="O27" s="10">
        <v>3537</v>
      </c>
      <c r="P27" s="13">
        <v>-4.1274817136886077E-2</v>
      </c>
      <c r="Q27" s="13">
        <v>-0.108843537414966</v>
      </c>
      <c r="R27" s="14">
        <v>1.7590101402931185E-2</v>
      </c>
    </row>
    <row r="28" spans="1:18" ht="15" customHeight="1" x14ac:dyDescent="0.25">
      <c r="A28" s="9" t="s">
        <v>34</v>
      </c>
      <c r="B28" s="10">
        <v>29205</v>
      </c>
      <c r="C28" s="10">
        <v>27219</v>
      </c>
      <c r="D28" s="10">
        <v>22576</v>
      </c>
      <c r="E28" s="10">
        <v>19953</v>
      </c>
      <c r="F28" s="11">
        <v>2331</v>
      </c>
      <c r="G28" s="11">
        <v>1776</v>
      </c>
      <c r="H28" s="11">
        <v>4791</v>
      </c>
      <c r="I28" s="11">
        <v>8769</v>
      </c>
      <c r="J28" s="10">
        <v>17667</v>
      </c>
      <c r="K28" s="12">
        <v>1629</v>
      </c>
      <c r="L28" s="12">
        <v>1085</v>
      </c>
      <c r="M28" s="12">
        <v>3015</v>
      </c>
      <c r="N28" s="12">
        <v>6867</v>
      </c>
      <c r="O28" s="10">
        <v>12596</v>
      </c>
      <c r="P28" s="13">
        <v>-0.21690044474854597</v>
      </c>
      <c r="Q28" s="13">
        <v>-0.28703232014490287</v>
      </c>
      <c r="R28" s="14">
        <v>6.2642046160961612E-2</v>
      </c>
    </row>
    <row r="29" spans="1:18" ht="15" customHeight="1" x14ac:dyDescent="0.25">
      <c r="A29" t="s">
        <v>35</v>
      </c>
      <c r="B29" s="16">
        <f>SUBTOTAL(109,Tabell_Får[2019])</f>
        <v>251708</v>
      </c>
      <c r="C29" s="16">
        <f>SUBTOTAL(109,Tabell_Får[2020])</f>
        <v>240517</v>
      </c>
      <c r="D29" s="16">
        <f>SUBTOTAL(109,Tabell_Får[2021])</f>
        <v>230120</v>
      </c>
      <c r="E29" s="16">
        <f>SUBTOTAL(109,Tabell_Får[2022])</f>
        <v>228822</v>
      </c>
      <c r="F29" s="16">
        <f>SUBTOTAL(109,Tabell_Får[Kvartal 1 2023])</f>
        <v>37134</v>
      </c>
      <c r="G29" s="16">
        <f>SUBTOTAL(109,Tabell_Får[Kvartal 2 2023])</f>
        <v>45050</v>
      </c>
      <c r="H29" s="16">
        <f>SUBTOTAL(109,Tabell_Får[Kvartal 3 2023])</f>
        <v>66525</v>
      </c>
      <c r="I29" s="16">
        <f>SUBTOTAL(109,Tabell_Får[Kvartal 4 2023])</f>
        <v>80423</v>
      </c>
      <c r="J29" s="16">
        <f>SUBTOTAL(109,Tabell_Får[2023])</f>
        <v>229132</v>
      </c>
      <c r="K29" s="16">
        <f>SUBTOTAL(109,Tabell_Får[Kvartal 1 2024])</f>
        <v>34080</v>
      </c>
      <c r="L29" s="16">
        <f>SUBTOTAL(109,Tabell_Får[Kvartal 2 2024])</f>
        <v>38760</v>
      </c>
      <c r="M29" s="16">
        <f>SUBTOTAL(109,Tabell_Får[Kvartal 3 2024])</f>
        <v>56332</v>
      </c>
      <c r="N29" s="16">
        <f>SUBTOTAL(109,Tabell_Får[Kvartal 4 2024])</f>
        <v>71907</v>
      </c>
      <c r="O29" s="16">
        <f>SUBTOTAL(109,Tabell_Får[2024])</f>
        <v>201079</v>
      </c>
      <c r="P29" s="17">
        <f>N29/I29-1</f>
        <v>-0.10589010606418559</v>
      </c>
      <c r="Q29" s="17">
        <f>O29/SUM(F29:I29)-1</f>
        <v>-0.12243161147286286</v>
      </c>
      <c r="R29" s="18">
        <f>SUBTOTAL(109,Tabell_Får[Procentuell andel 2024*])</f>
        <v>0.99999999999999989</v>
      </c>
    </row>
    <row r="30" spans="1:18" ht="15" customHeight="1" x14ac:dyDescent="0.2">
      <c r="A30" s="23" t="s">
        <v>76</v>
      </c>
    </row>
    <row r="31" spans="1:18" ht="15" customHeight="1" x14ac:dyDescent="0.2">
      <c r="A31" s="23" t="s">
        <v>37</v>
      </c>
    </row>
    <row r="32" spans="1:18" ht="15" customHeight="1" x14ac:dyDescent="0.2">
      <c r="A32" s="23" t="s">
        <v>77</v>
      </c>
    </row>
    <row r="33" spans="1:1" ht="15" customHeight="1" x14ac:dyDescent="0.2">
      <c r="A33" s="23" t="s">
        <v>39</v>
      </c>
    </row>
    <row r="34" spans="1:1" ht="15" customHeight="1" x14ac:dyDescent="0.2"/>
    <row r="35" spans="1:1" ht="15" customHeight="1" x14ac:dyDescent="0.2"/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  <row r="45" spans="1:1" ht="15" customHeight="1" x14ac:dyDescent="0.2"/>
    <row r="46" spans="1:1" ht="15" customHeight="1" x14ac:dyDescent="0.2"/>
    <row r="47" spans="1:1" ht="15" customHeight="1" x14ac:dyDescent="0.2"/>
    <row r="48" spans="1: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dataConsolidate/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6471-2DF8-4C8F-BD07-0A11EADCDB76}">
  <sheetPr codeName="flHäst">
    <pageSetUpPr fitToPage="1"/>
  </sheetPr>
  <dimension ref="A1:R92"/>
  <sheetViews>
    <sheetView workbookViewId="0">
      <selection activeCell="A2" sqref="A2"/>
    </sheetView>
  </sheetViews>
  <sheetFormatPr defaultColWidth="9.140625" defaultRowHeight="12" x14ac:dyDescent="0.2"/>
  <cols>
    <col min="1" max="1" width="27" style="23" customWidth="1"/>
    <col min="2" max="15" width="8.28515625" style="23" customWidth="1"/>
    <col min="16" max="16" width="9.28515625" style="23" customWidth="1"/>
    <col min="17" max="17" width="10.140625" style="23" customWidth="1"/>
    <col min="18" max="18" width="10" style="23" customWidth="1"/>
    <col min="19" max="16384" width="9.140625" style="23"/>
  </cols>
  <sheetData>
    <row r="1" spans="1:18" ht="92.25" customHeight="1" x14ac:dyDescent="0.25">
      <c r="A1" s="1" t="s">
        <v>78</v>
      </c>
      <c r="B1"/>
      <c r="C1" s="1"/>
      <c r="E1"/>
      <c r="F1"/>
      <c r="G1"/>
      <c r="H1"/>
      <c r="I1"/>
      <c r="J1" s="1"/>
      <c r="K1"/>
      <c r="L1"/>
      <c r="M1"/>
      <c r="N1"/>
      <c r="O1"/>
      <c r="P1"/>
      <c r="Q1"/>
      <c r="R1" s="2"/>
    </row>
    <row r="2" spans="1:18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25">
      <c r="A3" s="9" t="s">
        <v>62</v>
      </c>
      <c r="B3" s="10">
        <v>191</v>
      </c>
      <c r="C3" s="10">
        <v>128</v>
      </c>
      <c r="D3" s="10">
        <v>147</v>
      </c>
      <c r="E3" s="10">
        <v>181</v>
      </c>
      <c r="F3" s="11">
        <v>59</v>
      </c>
      <c r="G3" s="11">
        <v>61</v>
      </c>
      <c r="H3" s="11">
        <v>50</v>
      </c>
      <c r="I3" s="11">
        <v>60</v>
      </c>
      <c r="J3" s="10">
        <v>230</v>
      </c>
      <c r="K3" s="12">
        <v>47</v>
      </c>
      <c r="L3" s="12">
        <v>46</v>
      </c>
      <c r="M3" s="12">
        <v>69</v>
      </c>
      <c r="N3" s="12">
        <v>89</v>
      </c>
      <c r="O3" s="10">
        <v>251</v>
      </c>
      <c r="P3" s="13">
        <v>0.48333333333333339</v>
      </c>
      <c r="Q3" s="13">
        <v>9.1304347826086873E-2</v>
      </c>
      <c r="R3" s="14">
        <v>0.20899250624479601</v>
      </c>
    </row>
    <row r="4" spans="1:18" ht="15" customHeight="1" x14ac:dyDescent="0.25">
      <c r="A4" s="9" t="s">
        <v>46</v>
      </c>
      <c r="B4" s="10">
        <v>117</v>
      </c>
      <c r="C4" s="10">
        <v>116</v>
      </c>
      <c r="D4" s="10">
        <v>105</v>
      </c>
      <c r="E4" s="10">
        <v>112</v>
      </c>
      <c r="F4" s="11">
        <v>27</v>
      </c>
      <c r="G4" s="11">
        <v>14</v>
      </c>
      <c r="H4" s="11">
        <v>33</v>
      </c>
      <c r="I4" s="11">
        <v>38</v>
      </c>
      <c r="J4" s="10">
        <v>112</v>
      </c>
      <c r="K4" s="12">
        <v>19</v>
      </c>
      <c r="L4" s="12">
        <v>29</v>
      </c>
      <c r="M4" s="12">
        <v>33</v>
      </c>
      <c r="N4" s="12">
        <v>39</v>
      </c>
      <c r="O4" s="10">
        <v>120</v>
      </c>
      <c r="P4" s="13">
        <v>2.6315789473684292E-2</v>
      </c>
      <c r="Q4" s="13">
        <v>7.1428571428571397E-2</v>
      </c>
      <c r="R4" s="14">
        <v>9.9916736053288921E-2</v>
      </c>
    </row>
    <row r="5" spans="1:18" ht="15" customHeight="1" x14ac:dyDescent="0.25">
      <c r="A5" s="9" t="s">
        <v>49</v>
      </c>
      <c r="B5" s="10">
        <v>57</v>
      </c>
      <c r="C5" s="10">
        <v>37</v>
      </c>
      <c r="D5" s="10">
        <v>50</v>
      </c>
      <c r="E5" s="10">
        <v>37</v>
      </c>
      <c r="F5" s="11">
        <v>11</v>
      </c>
      <c r="G5" s="11">
        <v>6</v>
      </c>
      <c r="H5" s="11">
        <v>10</v>
      </c>
      <c r="I5" s="11">
        <v>5</v>
      </c>
      <c r="J5" s="10">
        <v>32</v>
      </c>
      <c r="K5" s="12">
        <v>10</v>
      </c>
      <c r="L5" s="12">
        <v>7</v>
      </c>
      <c r="M5" s="12">
        <v>5</v>
      </c>
      <c r="N5" s="12">
        <v>7</v>
      </c>
      <c r="O5" s="10">
        <v>29</v>
      </c>
      <c r="P5" s="13">
        <v>0.39999999999999991</v>
      </c>
      <c r="Q5" s="13">
        <v>-9.375E-2</v>
      </c>
      <c r="R5" s="14">
        <v>2.4146544546211492E-2</v>
      </c>
    </row>
    <row r="6" spans="1:18" ht="15" customHeight="1" x14ac:dyDescent="0.25">
      <c r="A6" s="9" t="s">
        <v>50</v>
      </c>
      <c r="B6" s="10">
        <v>94</v>
      </c>
      <c r="C6" s="10">
        <v>78</v>
      </c>
      <c r="D6" s="10">
        <v>60</v>
      </c>
      <c r="E6" s="10">
        <v>73</v>
      </c>
      <c r="F6" s="11">
        <v>10</v>
      </c>
      <c r="G6" s="11">
        <v>17</v>
      </c>
      <c r="H6" s="11">
        <v>24</v>
      </c>
      <c r="I6" s="11">
        <v>27</v>
      </c>
      <c r="J6" s="10">
        <v>78</v>
      </c>
      <c r="K6" s="12">
        <v>21</v>
      </c>
      <c r="L6" s="12">
        <v>34</v>
      </c>
      <c r="M6" s="12">
        <v>12</v>
      </c>
      <c r="N6" s="12">
        <v>15</v>
      </c>
      <c r="O6" s="10">
        <v>82</v>
      </c>
      <c r="P6" s="13">
        <v>-0.44444444444444442</v>
      </c>
      <c r="Q6" s="13">
        <v>5.1282051282051322E-2</v>
      </c>
      <c r="R6" s="14">
        <v>6.8276436303080765E-2</v>
      </c>
    </row>
    <row r="7" spans="1:18" ht="15" customHeight="1" x14ac:dyDescent="0.25">
      <c r="A7" s="9" t="s">
        <v>51</v>
      </c>
      <c r="B7" s="10">
        <v>347</v>
      </c>
      <c r="C7" s="10">
        <v>263</v>
      </c>
      <c r="D7" s="10">
        <v>191</v>
      </c>
      <c r="E7" s="10">
        <v>229</v>
      </c>
      <c r="F7" s="11">
        <v>65</v>
      </c>
      <c r="G7" s="11">
        <v>40</v>
      </c>
      <c r="H7" s="11">
        <v>68</v>
      </c>
      <c r="I7" s="11">
        <v>125</v>
      </c>
      <c r="J7" s="10">
        <v>298</v>
      </c>
      <c r="K7" s="12">
        <v>86</v>
      </c>
      <c r="L7" s="12">
        <v>61</v>
      </c>
      <c r="M7" s="12">
        <v>49</v>
      </c>
      <c r="N7" s="12">
        <v>128</v>
      </c>
      <c r="O7" s="10">
        <v>324</v>
      </c>
      <c r="P7" s="13">
        <v>2.4000000000000021E-2</v>
      </c>
      <c r="Q7" s="13">
        <v>8.7248322147650992E-2</v>
      </c>
      <c r="R7" s="14">
        <v>0.26977518734388012</v>
      </c>
    </row>
    <row r="8" spans="1:18" ht="15" customHeight="1" x14ac:dyDescent="0.25">
      <c r="A8" s="9" t="s">
        <v>31</v>
      </c>
      <c r="B8" s="10">
        <v>14</v>
      </c>
      <c r="C8" s="10">
        <v>21</v>
      </c>
      <c r="D8" s="10">
        <v>18</v>
      </c>
      <c r="E8" s="10">
        <v>15</v>
      </c>
      <c r="F8" s="11">
        <v>11</v>
      </c>
      <c r="G8" s="11">
        <v>9</v>
      </c>
      <c r="H8" s="11">
        <v>7</v>
      </c>
      <c r="I8" s="11">
        <v>6</v>
      </c>
      <c r="J8" s="10">
        <v>33</v>
      </c>
      <c r="K8" s="12">
        <v>11</v>
      </c>
      <c r="L8" s="12">
        <v>9</v>
      </c>
      <c r="M8" s="12">
        <v>8</v>
      </c>
      <c r="N8" s="12">
        <v>9</v>
      </c>
      <c r="O8" s="10">
        <v>37</v>
      </c>
      <c r="P8" s="13">
        <v>0.5</v>
      </c>
      <c r="Q8" s="13">
        <v>0.1212121212121211</v>
      </c>
      <c r="R8" s="14">
        <v>3.0807660283097418E-2</v>
      </c>
    </row>
    <row r="9" spans="1:18" ht="15" customHeight="1" x14ac:dyDescent="0.25">
      <c r="A9" s="9" t="s">
        <v>54</v>
      </c>
      <c r="B9" s="10">
        <v>65</v>
      </c>
      <c r="C9" s="10">
        <v>56</v>
      </c>
      <c r="D9" s="10">
        <v>30</v>
      </c>
      <c r="E9" s="10">
        <v>72</v>
      </c>
      <c r="F9" s="11">
        <v>22</v>
      </c>
      <c r="G9" s="11">
        <v>14</v>
      </c>
      <c r="H9" s="11">
        <v>21</v>
      </c>
      <c r="I9" s="11">
        <v>51</v>
      </c>
      <c r="J9" s="10">
        <v>108</v>
      </c>
      <c r="K9" s="12">
        <v>28</v>
      </c>
      <c r="L9" s="12">
        <v>25</v>
      </c>
      <c r="M9" s="12">
        <v>20</v>
      </c>
      <c r="N9" s="12">
        <v>30</v>
      </c>
      <c r="O9" s="10">
        <v>103</v>
      </c>
      <c r="P9" s="13">
        <v>-0.41176470588235292</v>
      </c>
      <c r="Q9" s="13">
        <v>-4.629629629629628E-2</v>
      </c>
      <c r="R9" s="14">
        <v>8.5761865112406327E-2</v>
      </c>
    </row>
    <row r="10" spans="1:18" ht="15" customHeight="1" x14ac:dyDescent="0.25">
      <c r="A10" s="9" t="s">
        <v>74</v>
      </c>
      <c r="B10" s="10">
        <v>32</v>
      </c>
      <c r="C10" s="10">
        <v>19</v>
      </c>
      <c r="D10" s="10">
        <v>23</v>
      </c>
      <c r="E10" s="10">
        <v>24</v>
      </c>
      <c r="F10" s="11">
        <v>5</v>
      </c>
      <c r="G10" s="11">
        <v>5</v>
      </c>
      <c r="H10" s="11">
        <v>9</v>
      </c>
      <c r="I10" s="11">
        <v>8</v>
      </c>
      <c r="J10" s="10">
        <v>27</v>
      </c>
      <c r="K10" s="12">
        <v>11</v>
      </c>
      <c r="L10" s="12">
        <v>9</v>
      </c>
      <c r="M10" s="12">
        <v>2</v>
      </c>
      <c r="N10" s="12">
        <v>4</v>
      </c>
      <c r="O10" s="10">
        <v>26</v>
      </c>
      <c r="P10" s="13">
        <v>-0.5</v>
      </c>
      <c r="Q10" s="13">
        <v>-3.703703703703709E-2</v>
      </c>
      <c r="R10" s="14">
        <v>2.1648626144879269E-2</v>
      </c>
    </row>
    <row r="11" spans="1:18" ht="15" customHeight="1" x14ac:dyDescent="0.25">
      <c r="A11" s="9" t="s">
        <v>34</v>
      </c>
      <c r="B11" s="10">
        <v>795</v>
      </c>
      <c r="C11" s="10">
        <v>695</v>
      </c>
      <c r="D11" s="10">
        <v>412</v>
      </c>
      <c r="E11" s="10">
        <v>300</v>
      </c>
      <c r="F11" s="11">
        <v>36</v>
      </c>
      <c r="G11" s="11">
        <v>25</v>
      </c>
      <c r="H11" s="11">
        <v>23</v>
      </c>
      <c r="I11" s="11">
        <v>28</v>
      </c>
      <c r="J11" s="10">
        <v>112</v>
      </c>
      <c r="K11" s="12">
        <v>75</v>
      </c>
      <c r="L11" s="12">
        <v>28</v>
      </c>
      <c r="M11" s="12">
        <v>45</v>
      </c>
      <c r="N11" s="12">
        <v>81</v>
      </c>
      <c r="O11" s="10">
        <v>229</v>
      </c>
      <c r="P11" s="13">
        <v>1.8928571428571428</v>
      </c>
      <c r="Q11" s="13">
        <v>1.0446428571428572</v>
      </c>
      <c r="R11" s="14">
        <v>0.1906744379683597</v>
      </c>
    </row>
    <row r="12" spans="1:18" ht="15" customHeight="1" x14ac:dyDescent="0.25">
      <c r="A12" t="s">
        <v>35</v>
      </c>
      <c r="B12" s="16">
        <f>SUBTOTAL(109,Tabell_Häst[2019])</f>
        <v>1712</v>
      </c>
      <c r="C12" s="16">
        <f>SUBTOTAL(109,Tabell_Häst[2020])</f>
        <v>1413</v>
      </c>
      <c r="D12" s="16">
        <f>SUBTOTAL(109,Tabell_Häst[2021])</f>
        <v>1036</v>
      </c>
      <c r="E12" s="16">
        <f>SUBTOTAL(109,Tabell_Häst[2022])</f>
        <v>1043</v>
      </c>
      <c r="F12" s="16">
        <f>SUBTOTAL(109,Tabell_Häst[Kvartal 1 2023])</f>
        <v>246</v>
      </c>
      <c r="G12" s="16">
        <f>SUBTOTAL(109,Tabell_Häst[Kvartal 2 2023])</f>
        <v>191</v>
      </c>
      <c r="H12" s="16">
        <f>SUBTOTAL(109,Tabell_Häst[Kvartal 3 2023])</f>
        <v>245</v>
      </c>
      <c r="I12" s="16">
        <f>SUBTOTAL(109,Tabell_Häst[Kvartal 4 2023])</f>
        <v>348</v>
      </c>
      <c r="J12" s="16">
        <f>SUBTOTAL(109,Tabell_Häst[2023])</f>
        <v>1030</v>
      </c>
      <c r="K12" s="16">
        <f>SUBTOTAL(109,Tabell_Häst[Kvartal 1 2024])</f>
        <v>308</v>
      </c>
      <c r="L12" s="16">
        <f>SUBTOTAL(109,Tabell_Häst[Kvartal 2 2024])</f>
        <v>248</v>
      </c>
      <c r="M12" s="16">
        <f>SUBTOTAL(109,Tabell_Häst[Kvartal 3 2024])</f>
        <v>243</v>
      </c>
      <c r="N12" s="16">
        <f>SUBTOTAL(109,Tabell_Häst[Kvartal 4 2024])</f>
        <v>402</v>
      </c>
      <c r="O12" s="16">
        <f>SUBTOTAL(109,Tabell_Häst[2024])</f>
        <v>1201</v>
      </c>
      <c r="P12" s="17">
        <f>N12/I12-1</f>
        <v>0.15517241379310343</v>
      </c>
      <c r="Q12" s="17">
        <f>O12/SUM(F12:I12)-1</f>
        <v>0.16601941747572813</v>
      </c>
      <c r="R12" s="18">
        <f>SUBTOTAL(109,Tabell_Häst[Procentuell andel 2024*])</f>
        <v>1</v>
      </c>
    </row>
    <row r="13" spans="1:18" ht="15" customHeight="1" x14ac:dyDescent="0.2">
      <c r="A13" s="23" t="s">
        <v>79</v>
      </c>
    </row>
    <row r="14" spans="1:18" ht="15" customHeight="1" x14ac:dyDescent="0.2">
      <c r="A14" s="23" t="s">
        <v>37</v>
      </c>
    </row>
    <row r="15" spans="1:18" ht="15" customHeight="1" x14ac:dyDescent="0.2">
      <c r="A15" s="23" t="s">
        <v>80</v>
      </c>
    </row>
    <row r="16" spans="1:18" ht="15" customHeight="1" x14ac:dyDescent="0.2">
      <c r="A16" s="23" t="s">
        <v>39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dataConsolidate/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286B-B4B0-489C-888D-AC8F7E53A1F0}">
  <sheetPr codeName="Blad1"/>
  <dimension ref="A1:H26"/>
  <sheetViews>
    <sheetView zoomScaleNormal="100" workbookViewId="0">
      <selection activeCell="A2" sqref="A2"/>
    </sheetView>
  </sheetViews>
  <sheetFormatPr defaultColWidth="9.85546875" defaultRowHeight="12.75" x14ac:dyDescent="0.2"/>
  <cols>
    <col min="1" max="1" width="27" style="26" customWidth="1"/>
    <col min="2" max="2" width="10.5703125" style="26" bestFit="1" customWidth="1"/>
    <col min="3" max="3" width="12.140625" style="26" customWidth="1"/>
    <col min="4" max="5" width="10" style="26" bestFit="1" customWidth="1"/>
    <col min="6" max="6" width="8.7109375" style="26" customWidth="1"/>
    <col min="7" max="7" width="8.28515625" style="26" customWidth="1"/>
    <col min="8" max="16384" width="9.85546875" style="26"/>
  </cols>
  <sheetData>
    <row r="1" spans="1:8" s="23" customFormat="1" ht="92.25" customHeight="1" x14ac:dyDescent="0.25">
      <c r="A1" s="1" t="s">
        <v>81</v>
      </c>
      <c r="E1"/>
      <c r="F1"/>
      <c r="G1"/>
      <c r="H1"/>
    </row>
    <row r="2" spans="1:8" ht="15" x14ac:dyDescent="0.25">
      <c r="A2" s="24" t="s">
        <v>82</v>
      </c>
      <c r="B2" s="25" t="s">
        <v>83</v>
      </c>
      <c r="C2" s="25" t="s">
        <v>84</v>
      </c>
      <c r="D2" s="25" t="s">
        <v>85</v>
      </c>
      <c r="E2" s="25" t="s">
        <v>86</v>
      </c>
      <c r="F2" s="25" t="s">
        <v>87</v>
      </c>
      <c r="G2" s="25" t="s">
        <v>88</v>
      </c>
    </row>
    <row r="3" spans="1:8" ht="15" x14ac:dyDescent="0.25">
      <c r="A3" s="27">
        <v>2023</v>
      </c>
      <c r="B3" s="28">
        <v>2568276</v>
      </c>
      <c r="C3" s="28">
        <v>409754</v>
      </c>
      <c r="D3" s="28">
        <v>10958</v>
      </c>
      <c r="E3" s="28">
        <v>228860</v>
      </c>
      <c r="F3" s="28">
        <v>906</v>
      </c>
      <c r="G3" s="28">
        <v>1030</v>
      </c>
    </row>
    <row r="4" spans="1:8" ht="15" x14ac:dyDescent="0.25">
      <c r="A4" s="29">
        <v>2022</v>
      </c>
      <c r="B4" s="16">
        <v>2668928</v>
      </c>
      <c r="C4" s="16">
        <v>400216</v>
      </c>
      <c r="D4" s="16">
        <v>11474</v>
      </c>
      <c r="E4" s="16">
        <v>228822</v>
      </c>
      <c r="F4" s="16">
        <v>1058</v>
      </c>
      <c r="G4" s="16">
        <v>1043</v>
      </c>
    </row>
    <row r="5" spans="1:8" ht="15" x14ac:dyDescent="0.25">
      <c r="A5" s="29">
        <v>2021</v>
      </c>
      <c r="B5" s="16">
        <v>2647847</v>
      </c>
      <c r="C5" s="16">
        <v>399962</v>
      </c>
      <c r="D5" s="16">
        <v>11499</v>
      </c>
      <c r="E5" s="16">
        <v>230120</v>
      </c>
      <c r="F5" s="16">
        <v>687</v>
      </c>
      <c r="G5" s="16">
        <v>1036</v>
      </c>
    </row>
    <row r="6" spans="1:8" ht="15" x14ac:dyDescent="0.25">
      <c r="A6" s="29">
        <v>2020</v>
      </c>
      <c r="B6" s="16">
        <v>2617581</v>
      </c>
      <c r="C6" s="16">
        <v>420198</v>
      </c>
      <c r="D6" s="16">
        <v>13468</v>
      </c>
      <c r="E6" s="16">
        <v>240517</v>
      </c>
      <c r="F6" s="16">
        <v>779</v>
      </c>
      <c r="G6" s="16">
        <v>1413</v>
      </c>
    </row>
    <row r="7" spans="1:8" ht="15" x14ac:dyDescent="0.25">
      <c r="A7" s="29">
        <v>2019</v>
      </c>
      <c r="B7" s="16">
        <v>2568189</v>
      </c>
      <c r="C7" s="16">
        <v>417043</v>
      </c>
      <c r="D7" s="16">
        <v>14891</v>
      </c>
      <c r="E7" s="16">
        <v>251708</v>
      </c>
      <c r="F7" s="16">
        <v>1198</v>
      </c>
      <c r="G7" s="16">
        <v>1712</v>
      </c>
    </row>
    <row r="8" spans="1:8" ht="15" x14ac:dyDescent="0.25">
      <c r="A8" s="29">
        <v>2018</v>
      </c>
      <c r="B8" s="16">
        <v>2640842</v>
      </c>
      <c r="C8" s="16">
        <v>409407</v>
      </c>
      <c r="D8" s="16">
        <v>15460</v>
      </c>
      <c r="E8" s="16">
        <v>280955</v>
      </c>
      <c r="F8" s="16">
        <v>1140</v>
      </c>
      <c r="G8" s="16">
        <v>1982</v>
      </c>
    </row>
    <row r="9" spans="1:8" ht="15" x14ac:dyDescent="0.25">
      <c r="A9" s="29">
        <v>2017</v>
      </c>
      <c r="B9" s="16">
        <v>2573461</v>
      </c>
      <c r="C9" s="16">
        <v>390996</v>
      </c>
      <c r="D9" s="16">
        <v>14399</v>
      </c>
      <c r="E9" s="16">
        <v>262396</v>
      </c>
      <c r="F9" s="16">
        <v>982</v>
      </c>
      <c r="G9" s="16">
        <v>2134</v>
      </c>
    </row>
    <row r="10" spans="1:8" ht="15" x14ac:dyDescent="0.25">
      <c r="A10" s="29">
        <v>2016</v>
      </c>
      <c r="B10" s="16">
        <v>2526661</v>
      </c>
      <c r="C10" s="16">
        <v>394932</v>
      </c>
      <c r="D10" s="16">
        <v>16256</v>
      </c>
      <c r="E10" s="16">
        <v>251448</v>
      </c>
      <c r="F10" s="16">
        <v>1138</v>
      </c>
      <c r="G10" s="16">
        <v>2488</v>
      </c>
    </row>
    <row r="11" spans="1:8" ht="15" x14ac:dyDescent="0.25">
      <c r="A11" s="29">
        <v>2015</v>
      </c>
      <c r="B11" s="16">
        <v>2554885</v>
      </c>
      <c r="C11" s="16">
        <v>406628</v>
      </c>
      <c r="D11" s="16">
        <v>21889</v>
      </c>
      <c r="E11" s="16">
        <v>256402</v>
      </c>
      <c r="F11" s="16">
        <v>1166</v>
      </c>
      <c r="G11" s="16">
        <v>2862</v>
      </c>
    </row>
    <row r="12" spans="1:8" ht="15" x14ac:dyDescent="0.25">
      <c r="A12" s="29">
        <v>2014</v>
      </c>
      <c r="B12" s="16">
        <v>2567911</v>
      </c>
      <c r="C12" s="16">
        <v>406088</v>
      </c>
      <c r="D12" s="16">
        <v>25739</v>
      </c>
      <c r="E12" s="16">
        <v>257808</v>
      </c>
      <c r="F12" s="16">
        <v>875</v>
      </c>
      <c r="G12" s="16">
        <v>3646</v>
      </c>
    </row>
    <row r="13" spans="1:8" ht="15" x14ac:dyDescent="0.25">
      <c r="A13" s="29">
        <v>2013</v>
      </c>
      <c r="B13" s="16">
        <v>2555848</v>
      </c>
      <c r="C13" s="16">
        <v>391347</v>
      </c>
      <c r="D13" s="16">
        <v>27091</v>
      </c>
      <c r="E13" s="16">
        <v>253097</v>
      </c>
      <c r="F13" s="16">
        <v>996</v>
      </c>
      <c r="G13" s="16">
        <v>4012</v>
      </c>
    </row>
    <row r="14" spans="1:8" ht="15" x14ac:dyDescent="0.25">
      <c r="A14" s="29">
        <v>2012</v>
      </c>
      <c r="B14" s="16">
        <v>2591862</v>
      </c>
      <c r="C14" s="16">
        <v>391826</v>
      </c>
      <c r="D14" s="16">
        <v>29133</v>
      </c>
      <c r="E14" s="16">
        <v>260521</v>
      </c>
      <c r="F14" s="16">
        <v>898</v>
      </c>
      <c r="G14" s="16">
        <v>4359</v>
      </c>
    </row>
    <row r="15" spans="1:8" ht="15" x14ac:dyDescent="0.25">
      <c r="A15" s="29">
        <v>2011</v>
      </c>
      <c r="B15" s="16">
        <v>2854837</v>
      </c>
      <c r="C15" s="16">
        <v>430061</v>
      </c>
      <c r="D15" s="16">
        <v>27188</v>
      </c>
      <c r="E15" s="16">
        <v>261993</v>
      </c>
      <c r="F15" s="16">
        <v>738</v>
      </c>
      <c r="G15" s="16">
        <v>4507</v>
      </c>
    </row>
    <row r="16" spans="1:8" ht="15" x14ac:dyDescent="0.25">
      <c r="A16" s="29">
        <v>2010</v>
      </c>
      <c r="B16" s="16">
        <v>2946689</v>
      </c>
      <c r="C16" s="16">
        <v>425664</v>
      </c>
      <c r="D16" s="16">
        <v>26655</v>
      </c>
      <c r="E16" s="16">
        <v>254909</v>
      </c>
      <c r="F16" s="16">
        <v>490</v>
      </c>
      <c r="G16" s="16">
        <v>3969</v>
      </c>
    </row>
    <row r="17" spans="1:7" ht="15" x14ac:dyDescent="0.25">
      <c r="A17" s="29">
        <v>2009</v>
      </c>
      <c r="B17" s="16">
        <v>2956412</v>
      </c>
      <c r="C17" s="16">
        <v>429526</v>
      </c>
      <c r="D17" s="16">
        <v>29425</v>
      </c>
      <c r="E17" s="16">
        <v>255072</v>
      </c>
      <c r="F17" s="16">
        <v>782</v>
      </c>
      <c r="G17" s="16">
        <v>3814</v>
      </c>
    </row>
    <row r="18" spans="1:7" ht="15" x14ac:dyDescent="0.25">
      <c r="A18" s="29">
        <v>2008</v>
      </c>
      <c r="B18" s="16">
        <v>3072441</v>
      </c>
      <c r="C18" s="16">
        <v>401597</v>
      </c>
      <c r="D18" s="16">
        <v>28661</v>
      </c>
      <c r="E18" s="16">
        <v>235031</v>
      </c>
      <c r="F18" s="16">
        <v>741</v>
      </c>
      <c r="G18" s="16">
        <v>3496</v>
      </c>
    </row>
    <row r="19" spans="1:7" ht="15" x14ac:dyDescent="0.25">
      <c r="A19" s="29">
        <v>2007</v>
      </c>
      <c r="B19" s="16">
        <v>3003777</v>
      </c>
      <c r="C19" s="16">
        <v>419408</v>
      </c>
      <c r="D19" s="16">
        <v>30124</v>
      </c>
      <c r="E19" s="16">
        <v>230975</v>
      </c>
      <c r="F19" s="16">
        <v>515</v>
      </c>
      <c r="G19" s="16">
        <v>2995</v>
      </c>
    </row>
    <row r="20" spans="1:7" ht="15" x14ac:dyDescent="0.25">
      <c r="A20" s="29">
        <v>2006</v>
      </c>
      <c r="B20" s="16">
        <v>3022036</v>
      </c>
      <c r="C20" s="16">
        <v>431679</v>
      </c>
      <c r="D20" s="16">
        <v>32425</v>
      </c>
      <c r="E20" s="16">
        <v>212854</v>
      </c>
      <c r="F20" s="16">
        <v>581</v>
      </c>
      <c r="G20" s="16">
        <v>3021</v>
      </c>
    </row>
    <row r="21" spans="1:7" ht="15" x14ac:dyDescent="0.25">
      <c r="A21" s="29">
        <v>2005</v>
      </c>
      <c r="B21" s="16">
        <v>3159941</v>
      </c>
      <c r="C21" s="16">
        <v>433044</v>
      </c>
      <c r="D21" s="16">
        <v>33036</v>
      </c>
      <c r="E21" s="16">
        <v>205983</v>
      </c>
      <c r="F21" s="16">
        <v>247</v>
      </c>
      <c r="G21" s="16">
        <v>3521</v>
      </c>
    </row>
    <row r="22" spans="1:7" ht="15" x14ac:dyDescent="0.25">
      <c r="A22" s="29">
        <v>2004</v>
      </c>
      <c r="B22" s="16">
        <v>3364833</v>
      </c>
      <c r="C22" s="16">
        <v>458016</v>
      </c>
      <c r="D22" s="16">
        <v>33868</v>
      </c>
      <c r="E22" s="16">
        <v>193241</v>
      </c>
      <c r="F22" s="16">
        <v>251</v>
      </c>
      <c r="G22" s="16">
        <v>5042</v>
      </c>
    </row>
    <row r="23" spans="1:7" ht="15" x14ac:dyDescent="0.25">
      <c r="A23" s="29">
        <v>2003</v>
      </c>
      <c r="B23" s="16">
        <v>3304939</v>
      </c>
      <c r="C23" s="16">
        <v>454222</v>
      </c>
      <c r="D23" s="16">
        <v>31536</v>
      </c>
      <c r="E23" s="16">
        <v>192432</v>
      </c>
      <c r="F23" s="16">
        <v>298</v>
      </c>
      <c r="G23" s="16">
        <v>5349</v>
      </c>
    </row>
    <row r="24" spans="1:7" ht="15" x14ac:dyDescent="0.25">
      <c r="A24" s="29">
        <v>2002</v>
      </c>
      <c r="B24" s="16">
        <v>3282338</v>
      </c>
      <c r="C24" s="16">
        <v>472928</v>
      </c>
      <c r="D24" s="16">
        <v>33831</v>
      </c>
      <c r="E24" s="16">
        <v>197278</v>
      </c>
      <c r="F24" s="16">
        <v>489</v>
      </c>
      <c r="G24" s="16">
        <v>5454</v>
      </c>
    </row>
    <row r="25" spans="1:7" ht="15" x14ac:dyDescent="0.25">
      <c r="A25" s="29">
        <v>2001</v>
      </c>
      <c r="B25" s="16">
        <v>3197296</v>
      </c>
      <c r="C25" s="16">
        <v>464032</v>
      </c>
      <c r="D25" s="16">
        <v>34290</v>
      </c>
      <c r="E25" s="16">
        <v>197343</v>
      </c>
      <c r="F25" s="16">
        <v>405</v>
      </c>
      <c r="G25" s="16">
        <v>5173</v>
      </c>
    </row>
    <row r="26" spans="1:7" ht="15.75" thickBot="1" x14ac:dyDescent="0.3">
      <c r="A26" s="30">
        <v>2000</v>
      </c>
      <c r="B26" s="31">
        <v>3256929</v>
      </c>
      <c r="C26" s="31">
        <v>490169</v>
      </c>
      <c r="D26" s="31">
        <v>39068</v>
      </c>
      <c r="E26" s="31">
        <v>203836</v>
      </c>
      <c r="F26" s="31">
        <v>391</v>
      </c>
      <c r="G26" s="31">
        <v>5448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Gris</vt:lpstr>
      <vt:lpstr>Storboskap</vt:lpstr>
      <vt:lpstr>Kalv</vt:lpstr>
      <vt:lpstr>Får och lamm</vt:lpstr>
      <vt:lpstr>Häst</vt:lpstr>
      <vt:lpstr>Årshistorik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Kvartalsstatistik för godkänd slakt kvartal 4 år 2024</dc:title>
  <dc:creator>Jordbruksverket</dc:creator>
  <cp:keywords>Storboskap, Kalv, Gris, Får och lamm, Häst, Årshistorik,</cp:keywords>
  <cp:lastModifiedBy>Arne Andersson</cp:lastModifiedBy>
  <dcterms:created xsi:type="dcterms:W3CDTF">2025-02-06T13:39:54Z</dcterms:created>
  <dcterms:modified xsi:type="dcterms:W3CDTF">2025-02-06T13:39:59Z</dcterms:modified>
</cp:coreProperties>
</file>