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Enhet\Kontrollenheter\Kontrollområden\Köttklassning\Planering, uppföljning och statistik\Statistik\Kvartalsstatistik\2025\"/>
    </mc:Choice>
  </mc:AlternateContent>
  <xr:revisionPtr revIDLastSave="0" documentId="8_{C36EFC35-E159-4384-A685-FB86860F0F3D}" xr6:coauthVersionLast="36" xr6:coauthVersionMax="36" xr10:uidLastSave="{00000000-0000-0000-0000-000000000000}"/>
  <bookViews>
    <workbookView xWindow="0" yWindow="0" windowWidth="28800" windowHeight="11805" xr2:uid="{A2FA1966-87A2-409C-ADA2-CA559E71873E}"/>
  </bookViews>
  <sheets>
    <sheet name="Gris" sheetId="1" r:id="rId1"/>
    <sheet name="Storboskap" sheetId="2" r:id="rId2"/>
    <sheet name="Kalv" sheetId="3" r:id="rId3"/>
    <sheet name="Får och lamm" sheetId="4" r:id="rId4"/>
    <sheet name="Häst" sheetId="5" r:id="rId5"/>
    <sheet name="Årshistorik" sheetId="6" r:id="rId6"/>
  </sheets>
  <externalReferences>
    <externalReference r:id="rId7"/>
  </externalReferences>
  <definedNames>
    <definedName name="rngAvbugga">[1]Instruktion!$K$9</definedName>
    <definedName name="rngMedgivande">[1]Instruktion!$K$12</definedName>
    <definedName name="rngTidstämpel">[1]Instruktion!#REF!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5" l="1"/>
  <c r="P12" i="5"/>
  <c r="O12" i="5"/>
  <c r="Q12" i="5" s="1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R29" i="4"/>
  <c r="O29" i="4"/>
  <c r="Q29" i="4" s="1"/>
  <c r="N29" i="4"/>
  <c r="M29" i="4"/>
  <c r="L29" i="4"/>
  <c r="K29" i="4"/>
  <c r="J29" i="4"/>
  <c r="I29" i="4"/>
  <c r="H29" i="4"/>
  <c r="G29" i="4"/>
  <c r="F29" i="4"/>
  <c r="P29" i="4" s="1"/>
  <c r="E29" i="4"/>
  <c r="D29" i="4"/>
  <c r="C29" i="4"/>
  <c r="B29" i="4"/>
  <c r="R24" i="3"/>
  <c r="O24" i="3"/>
  <c r="Q24" i="3" s="1"/>
  <c r="N24" i="3"/>
  <c r="M24" i="3"/>
  <c r="L24" i="3"/>
  <c r="K24" i="3"/>
  <c r="J24" i="3"/>
  <c r="I24" i="3"/>
  <c r="H24" i="3"/>
  <c r="G24" i="3"/>
  <c r="F24" i="3"/>
  <c r="P24" i="3" s="1"/>
  <c r="E24" i="3"/>
  <c r="D24" i="3"/>
  <c r="C24" i="3"/>
  <c r="B24" i="3"/>
  <c r="R29" i="2"/>
  <c r="O29" i="2"/>
  <c r="Q29" i="2" s="1"/>
  <c r="N29" i="2"/>
  <c r="M29" i="2"/>
  <c r="L29" i="2"/>
  <c r="K29" i="2"/>
  <c r="P29" i="2" s="1"/>
  <c r="J29" i="2"/>
  <c r="I29" i="2"/>
  <c r="H29" i="2"/>
  <c r="G29" i="2"/>
  <c r="F29" i="2"/>
  <c r="E29" i="2"/>
  <c r="D29" i="2"/>
  <c r="C29" i="2"/>
  <c r="B29" i="2"/>
  <c r="R19" i="1"/>
  <c r="P19" i="1"/>
  <c r="O19" i="1"/>
  <c r="Q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<sst xmlns="http://schemas.openxmlformats.org/spreadsheetml/2006/main" count="230" uniqueCount="91">
  <si>
    <t>Antal slaktade grisar, uppdaterad kvartal 1 2025</t>
  </si>
  <si>
    <t>Anläggning</t>
  </si>
  <si>
    <t>2020</t>
  </si>
  <si>
    <t>2021</t>
  </si>
  <si>
    <t>2022</t>
  </si>
  <si>
    <t>2023</t>
  </si>
  <si>
    <t>Kvartal 1 2024</t>
  </si>
  <si>
    <t>Kvartal 2 2024</t>
  </si>
  <si>
    <t>Kvartal 3 2024</t>
  </si>
  <si>
    <t>Kvartal 4 2024</t>
  </si>
  <si>
    <t>2024</t>
  </si>
  <si>
    <t>Kvartal 1 2025</t>
  </si>
  <si>
    <t>Kvartal 2 2025</t>
  </si>
  <si>
    <t>Kvartal 3 2025</t>
  </si>
  <si>
    <t>Kvartal 4 2025</t>
  </si>
  <si>
    <t>2025</t>
  </si>
  <si>
    <t>Förändring kv 1 från 2024-2025</t>
  </si>
  <si>
    <t>Förändring kv 1-1 från 2024–2025</t>
  </si>
  <si>
    <t>Procentuell andel 2025*</t>
  </si>
  <si>
    <t>AB Ginsten Slakteri</t>
  </si>
  <si>
    <t>Alviksgårdens Lantbruks AB</t>
  </si>
  <si>
    <t>Brantestads Gårdsslakteri</t>
  </si>
  <si>
    <t>Dahlbergs Slakteri AB</t>
  </si>
  <si>
    <t>Ickholmens slakteri</t>
  </si>
  <si>
    <t>KLS Ugglarps AB Dalsjöfors</t>
  </si>
  <si>
    <t>KLS Ugglarps AB Kalmar</t>
  </si>
  <si>
    <t>KLS Ugglarps AB, Trelleborg</t>
  </si>
  <si>
    <t>Lindells Gårdsslakteri AB</t>
  </si>
  <si>
    <t>Lövsta Kött AB</t>
  </si>
  <si>
    <t>Protos AB</t>
  </si>
  <si>
    <t>Ragnar Johanssons Kött o Chark AB</t>
  </si>
  <si>
    <t>Roslagens Slakt och Chark AB</t>
  </si>
  <si>
    <t>Scan, Kristianstad</t>
  </si>
  <si>
    <t>Skövde Slakteri</t>
  </si>
  <si>
    <t>Övriga</t>
  </si>
  <si>
    <t>Total svensk slakt</t>
  </si>
  <si>
    <t>Tabellen visar 15 av de 34 slakterier som har slaktat grisar under 2025. Källa: Jordbruksverket</t>
  </si>
  <si>
    <t>Sammanställningen utgår från slakteriernas veckorapportering till Jordbruksverket och visar antal slaktade djur som godkänts som livsmedel</t>
  </si>
  <si>
    <t>Ingående kategorier: Samtliga djur av djurslaget svin inklusive suggor och galtar</t>
  </si>
  <si>
    <t>*Den procentuella andelen av slakten utgår från anläggning, inte företag. Det förekommer att slakteriföretag legoslaktar åt varandra.</t>
  </si>
  <si>
    <t>Antal slaktade storboskap, uppdaterad kvartal 1 2025</t>
  </si>
  <si>
    <t>Almunge Kött</t>
  </si>
  <si>
    <t>Bjursunds Slakteri AB</t>
  </si>
  <si>
    <t>David Karlgrens Slakteri AB</t>
  </si>
  <si>
    <t>Delsbo Slakteri</t>
  </si>
  <si>
    <t>Ello i Lammhult AB</t>
  </si>
  <si>
    <t>Faringe Kött &amp; Slakt AB</t>
  </si>
  <si>
    <t>Jämtlandsgårdens Livsmedel AB</t>
  </si>
  <si>
    <t>KLS Ugglarps AB, Hörby</t>
  </si>
  <si>
    <t>Mostorps Gård AB</t>
  </si>
  <si>
    <t>Norrbottengården Slakteri AB</t>
  </si>
  <si>
    <t>Nyhléns Hugosons AB - Ullånger</t>
  </si>
  <si>
    <t>Närkes Slakteri i Gällersta AB</t>
  </si>
  <si>
    <t>PP Slakt AB</t>
  </si>
  <si>
    <t>Scan, Linköping</t>
  </si>
  <si>
    <t>Skånska Vilt AB</t>
  </si>
  <si>
    <t>Sörby Slakteri</t>
  </si>
  <si>
    <t>Varekils Slakteri AB</t>
  </si>
  <si>
    <t>Tabellen visar 25 av de 55 slakterier som har slaktat storboskap under 2025. Källa: Jordbruksverket</t>
  </si>
  <si>
    <t>Ingående kategorier: Samtliga nötkreatur utom späd-, göd-, och mellankalv</t>
  </si>
  <si>
    <t>Antal slaktade kalvar, uppdaterad kvartal 1 2025</t>
  </si>
  <si>
    <t>─</t>
  </si>
  <si>
    <t>Bassholma slakteri AB</t>
  </si>
  <si>
    <t>Bäsinge Slakteri AB</t>
  </si>
  <si>
    <t>–</t>
  </si>
  <si>
    <t>Lundsbols slakteri AB</t>
  </si>
  <si>
    <t>-</t>
  </si>
  <si>
    <t>Tavastboda gårdsslakteri AB</t>
  </si>
  <si>
    <t>Tabellen visar 20 av de 31 slakterier som har slaktat kalvar under 2025. Källa: Jordbruksverket</t>
  </si>
  <si>
    <t>Ingående kategorier: späd-, göd-, och mellankalv</t>
  </si>
  <si>
    <t>Antal slaktade får och lamm, uppdaterad kvartal 1 2025</t>
  </si>
  <si>
    <t>Appeltorps Lamm o Vilt</t>
  </si>
  <si>
    <t>Ljungskile Kött AB</t>
  </si>
  <si>
    <t>Skara Lammslakteri AB</t>
  </si>
  <si>
    <t>Sörgården Gårdsbutik&amp;slakteri</t>
  </si>
  <si>
    <t>Vikbolands Kött</t>
  </si>
  <si>
    <t>Västerslät</t>
  </si>
  <si>
    <t>Öströö Fårfarm AB</t>
  </si>
  <si>
    <t>Tabellen visar 25 av de 46 slakterier som har slaktat får och lamm under 2025. Källa: Jordbruksverket</t>
  </si>
  <si>
    <t>Ingående kategorier: Samtliga får och lamm</t>
  </si>
  <si>
    <t>Antal slaktade hästar, uppdaterad kvartal 1 2025</t>
  </si>
  <si>
    <t>Tabellen visar 8 av de 11 slakterier som har slaktat hästar under 2025. Källa: Jordbruksverket</t>
  </si>
  <si>
    <t>Ingående kategorier: Samtliga hästar</t>
  </si>
  <si>
    <t>Godkänd slakt, antal djur per år</t>
  </si>
  <si>
    <t>År</t>
  </si>
  <si>
    <t>Svin</t>
  </si>
  <si>
    <t>Storboskap</t>
  </si>
  <si>
    <t>Kalv</t>
  </si>
  <si>
    <t>Får</t>
  </si>
  <si>
    <t>Get</t>
  </si>
  <si>
    <t>Häst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</si>
</sst>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\+0%;\-0%"/>
    <numFmt numFmtId="166" formatCode="#,#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0" fillId="0" borderId="0" xfId="0" applyFont="1" applyFill="1"/>
    <xf numFmtId="3" fontId="0" fillId="0" borderId="0" xfId="0" applyNumberFormat="1" applyFont="1" applyFill="1"/>
    <xf numFmtId="3" fontId="0" fillId="3" borderId="0" xfId="0" applyNumberFormat="1" applyFont="1" applyFill="1"/>
    <xf numFmtId="3" fontId="0" fillId="4" borderId="0" xfId="0" applyNumberFormat="1" applyFont="1" applyFill="1"/>
    <xf numFmtId="165" fontId="0" fillId="0" borderId="0" xfId="0" applyNumberFormat="1" applyFont="1" applyFill="1" applyAlignment="1">
      <alignment horizontal="right"/>
    </xf>
    <xf numFmtId="9" fontId="0" fillId="0" borderId="0" xfId="0" applyNumberFormat="1" applyFont="1" applyFill="1"/>
    <xf numFmtId="166" fontId="3" fillId="0" borderId="0" xfId="0" applyNumberFormat="1" applyFont="1"/>
    <xf numFmtId="0" fontId="1" fillId="0" borderId="0" xfId="0" applyFont="1" applyFill="1"/>
    <xf numFmtId="3" fontId="0" fillId="0" borderId="0" xfId="0" applyNumberFormat="1"/>
    <xf numFmtId="165" fontId="0" fillId="0" borderId="0" xfId="0" applyNumberFormat="1"/>
    <xf numFmtId="9" fontId="0" fillId="0" borderId="0" xfId="0" applyNumberFormat="1"/>
    <xf numFmtId="3" fontId="0" fillId="0" borderId="0" xfId="0" applyNumberFormat="1" applyFont="1"/>
    <xf numFmtId="3" fontId="1" fillId="0" borderId="0" xfId="0" applyNumberFormat="1" applyFont="1" applyFill="1"/>
    <xf numFmtId="3" fontId="1" fillId="3" borderId="0" xfId="0" applyNumberFormat="1" applyFont="1" applyFill="1"/>
    <xf numFmtId="3" fontId="1" fillId="0" borderId="0" xfId="0" applyNumberFormat="1" applyFont="1"/>
    <xf numFmtId="3" fontId="1" fillId="4" borderId="0" xfId="0" applyNumberFormat="1" applyFont="1" applyFill="1"/>
    <xf numFmtId="165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3" fontId="0" fillId="4" borderId="0" xfId="0" applyNumberFormat="1" applyFill="1"/>
    <xf numFmtId="165" fontId="0" fillId="0" borderId="0" xfId="0" applyNumberFormat="1" applyFont="1" applyFill="1"/>
    <xf numFmtId="0" fontId="4" fillId="0" borderId="0" xfId="0" applyFont="1"/>
    <xf numFmtId="165" fontId="1" fillId="0" borderId="0" xfId="0" applyNumberFormat="1" applyFont="1" applyFill="1"/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/>
  </cellXfs>
  <cellStyles count="2">
    <cellStyle name="Normal" xfId="0" builtinId="0"/>
    <cellStyle name="Procent" xfId="1" builtinId="5"/>
  </cellStyles>
  <dxfs count="20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left/>
        <right/>
        <top style="thin">
          <color theme="9" tint="0.59996337778862885"/>
        </top>
        <bottom style="thin">
          <color theme="9" tint="0.59996337778862885"/>
        </bottom>
        <vertical/>
        <horizontal style="thin">
          <color theme="9" tint="0.59996337778862885"/>
        </horizontal>
      </border>
    </dxf>
    <dxf>
      <fill>
        <patternFill>
          <bgColor theme="9" tint="0.79998168889431442"/>
        </patternFill>
      </fill>
      <border diagonalUp="0" diagonalDown="0">
        <left/>
        <right/>
        <top style="thin">
          <color theme="9" tint="0.59996337778862885"/>
        </top>
        <bottom style="thin">
          <color theme="9" tint="0.59996337778862885"/>
        </bottom>
        <vertical/>
        <horizontal style="thin">
          <color theme="9" tint="0.59996337778862885"/>
        </horizontal>
      </border>
    </dxf>
    <dxf>
      <font>
        <b/>
        <color theme="1"/>
      </font>
      <border>
        <right/>
      </border>
    </dxf>
    <dxf>
      <font>
        <b/>
        <color theme="1"/>
      </font>
    </dxf>
    <dxf>
      <font>
        <b/>
        <color theme="1"/>
      </font>
      <border>
        <left/>
        <right/>
        <top style="double">
          <color auto="1"/>
        </top>
        <bottom style="medium">
          <color auto="1"/>
        </bottom>
        <vertical/>
      </border>
    </dxf>
    <dxf>
      <font>
        <b/>
        <color theme="1"/>
      </font>
      <border>
        <left/>
        <right/>
        <top style="medium">
          <color auto="1"/>
        </top>
        <bottom style="medium">
          <color auto="1"/>
        </bottom>
        <vertical/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Light16">
    <tableStyle name="Kvartalsstatistik" pivot="0" count="9" xr9:uid="{00000000-0011-0000-FFFF-FFFF00000000}">
      <tableStyleElement type="wholeTable" dxfId="200"/>
      <tableStyleElement type="headerRow" dxfId="199"/>
      <tableStyleElement type="totalRow" dxfId="198"/>
      <tableStyleElement type="firstColumn" dxfId="197"/>
      <tableStyleElement type="lastColumn" dxfId="196"/>
      <tableStyleElement type="firstRowStripe" dxfId="195"/>
      <tableStyleElement type="secondRowStripe" dxfId="194"/>
      <tableStyleElement type="firstColumnStripe" dxfId="193"/>
      <tableStyleElement type="secondColumnStripe" dxfId="1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vartalsstatistik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DAWA-underlag"/>
      <sheetName val="Urval"/>
      <sheetName val="Äldre underlag"/>
      <sheetName val="Gris"/>
      <sheetName val="Storboskap"/>
      <sheetName val="Kalv"/>
      <sheetName val="Får och lamm"/>
      <sheetName val="Get"/>
      <sheetName val="Häst"/>
      <sheetName val="Årshistorik"/>
      <sheetName val="Diagram"/>
    </sheetNames>
    <sheetDataSet>
      <sheetData sheetId="0">
        <row r="12">
          <cell r="K12" t="str">
            <v>Medger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329588-13B3-43C4-A070-DA013E97A5F0}" name="Tabell_Gris" displayName="Tabell_Gris" ref="A2:R19" totalsRowCount="1">
  <autoFilter ref="A2:R1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6551E918-F4EF-4A1E-872D-559400C4EBC8}" name="Anläggning" totalsRowLabel="Total svensk slakt" dataDxfId="191"/>
    <tableColumn id="19" xr3:uid="{710003C6-6E1E-4990-8828-F6C0ADC4CE27}" name="2020" totalsRowFunction="sum" dataDxfId="189" totalsRowDxfId="190"/>
    <tableColumn id="20" xr3:uid="{5AFB5B1E-3DA6-47B0-9F28-D2581E821B60}" name="2021" totalsRowFunction="sum" dataDxfId="187" totalsRowDxfId="188"/>
    <tableColumn id="21" xr3:uid="{A5DB806A-65C7-44CB-8939-08ECD8D53891}" name="2022" totalsRowFunction="sum" dataDxfId="185" totalsRowDxfId="186"/>
    <tableColumn id="22" xr3:uid="{BA574EC9-4CC4-465D-A697-59F97DE37180}" name="2023" totalsRowFunction="sum" dataDxfId="183" totalsRowDxfId="184"/>
    <tableColumn id="2" xr3:uid="{CBFFB508-30A7-45C6-9BC1-6A727D3713AA}" name="Kvartal 1 2024" totalsRowFunction="sum" dataDxfId="181" totalsRowDxfId="182"/>
    <tableColumn id="3" xr3:uid="{C847C9B2-CDE5-4885-A2AC-903CDB6931D2}" name="Kvartal 2 2024" totalsRowFunction="sum" dataDxfId="179" totalsRowDxfId="180"/>
    <tableColumn id="4" xr3:uid="{9F781974-946D-4D22-BED9-AE74ABDE019B}" name="Kvartal 3 2024" totalsRowFunction="sum" dataDxfId="177" totalsRowDxfId="178"/>
    <tableColumn id="5" xr3:uid="{537BD079-09ED-4F89-BAF5-74888E3353B6}" name="Kvartal 4 2024" totalsRowFunction="sum" dataDxfId="175" totalsRowDxfId="176"/>
    <tableColumn id="6" xr3:uid="{5DBF1A7F-5630-4588-ACB5-E9622AD008D3}" name="2024" totalsRowFunction="sum" dataDxfId="173" totalsRowDxfId="174"/>
    <tableColumn id="7" xr3:uid="{12075A20-51C3-4D36-A989-A9A8921FD77B}" name="Kvartal 1 2025" totalsRowFunction="sum" dataDxfId="171" totalsRowDxfId="172"/>
    <tableColumn id="8" xr3:uid="{5953C333-2E70-4A37-82A9-5EA77038A9CE}" name="Kvartal 2 2025" totalsRowFunction="sum" dataDxfId="169" totalsRowDxfId="170"/>
    <tableColumn id="9" xr3:uid="{E1577080-8B9B-4ABA-859E-306153F22ABD}" name="Kvartal 3 2025" totalsRowFunction="sum" dataDxfId="167" totalsRowDxfId="168"/>
    <tableColumn id="10" xr3:uid="{96E0D572-59F2-4FC9-84DF-F8055EFB5913}" name="Kvartal 4 2025" totalsRowFunction="sum" dataDxfId="165" totalsRowDxfId="166"/>
    <tableColumn id="11" xr3:uid="{7B3E26FC-58E4-4166-9612-72EB41A753AA}" name="2025" totalsRowFunction="sum" dataDxfId="163" totalsRowDxfId="164"/>
    <tableColumn id="12" xr3:uid="{CF6D2C31-0B8A-4872-8039-EDB4933D7D0D}" name="Förändring kv 1 från 2024-2025" totalsRowFunction="custom" dataDxfId="161" totalsRowDxfId="162">
      <totalsRowFormula>K19/F19-1</totalsRowFormula>
    </tableColumn>
    <tableColumn id="13" xr3:uid="{F26912BC-1952-4D85-B7B7-C0E359CF4307}" name="Förändring kv 1-1 från 2024–2025" totalsRowFunction="custom" dataDxfId="159" totalsRowDxfId="160">
      <totalsRowFormula>O19/SUM(F19:F19)-1</totalsRowFormula>
    </tableColumn>
    <tableColumn id="14" xr3:uid="{B159C8A8-A2F9-4898-BA05-03CC6D740B20}" name="Procentuell andel 2025*" totalsRowFunction="sum" dataDxfId="157" totalsRowDxfId="158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grisar" altTextSummary="Tabellen visar de större slakterierna kvartalsvis i år och förra året samt årsvis ytterligare fyra år tillbak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571746-F112-46C9-BC34-581638122581}" name="Tabell_Storb" displayName="Tabell_Storb" ref="A2:R29" totalsRowCount="1" headerRowDxfId="156" totalsRowDxfId="155">
  <autoFilter ref="A2:R28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C30170AF-28E4-49A6-8EAF-47D3B7BE4FEE}" name="Anläggning" totalsRowLabel="Total svensk slakt" dataDxfId="154"/>
    <tableColumn id="19" xr3:uid="{3746ED42-CCD0-4C27-A8A4-8F9E3BA06EBA}" name="2020" totalsRowFunction="sum" dataDxfId="152" totalsRowDxfId="153"/>
    <tableColumn id="20" xr3:uid="{E5FE5946-31CE-4AC8-80B4-88223521715A}" name="2021" totalsRowFunction="sum" dataDxfId="150" totalsRowDxfId="151"/>
    <tableColumn id="21" xr3:uid="{B0EF573D-F50D-4CAA-9B24-A78B092A2C26}" name="2022" totalsRowFunction="sum" dataDxfId="148" totalsRowDxfId="149"/>
    <tableColumn id="22" xr3:uid="{B02F7DEB-F48D-4AE7-BB1E-84792A263C45}" name="2023" totalsRowFunction="sum" dataDxfId="146" totalsRowDxfId="147"/>
    <tableColumn id="2" xr3:uid="{52E5A49C-94DC-479B-9861-38BCFB8799FA}" name="Kvartal 1 2024" totalsRowFunction="sum" dataDxfId="144" totalsRowDxfId="145"/>
    <tableColumn id="3" xr3:uid="{DB0E7979-FB5B-4076-9C35-B38D7A9F163D}" name="Kvartal 2 2024" totalsRowFunction="sum" dataDxfId="142" totalsRowDxfId="143"/>
    <tableColumn id="4" xr3:uid="{C99B9824-F9C1-4117-8E23-499B838A9205}" name="Kvartal 3 2024" totalsRowFunction="sum" dataDxfId="140" totalsRowDxfId="141"/>
    <tableColumn id="5" xr3:uid="{B11319E0-A72D-46C2-BE23-8E59E1581924}" name="Kvartal 4 2024" totalsRowFunction="sum" dataDxfId="138" totalsRowDxfId="139"/>
    <tableColumn id="6" xr3:uid="{C0EA9B8E-BEEE-4B0F-8043-01627A81224E}" name="2024" totalsRowFunction="sum" dataDxfId="136" totalsRowDxfId="137"/>
    <tableColumn id="7" xr3:uid="{D8535667-9387-403E-8C66-E9E4A8A76FB3}" name="Kvartal 1 2025" totalsRowFunction="sum" dataDxfId="134" totalsRowDxfId="135"/>
    <tableColumn id="8" xr3:uid="{E3FE678B-9355-454A-80CA-07BEDC247E6E}" name="Kvartal 2 2025" totalsRowFunction="sum" dataDxfId="132" totalsRowDxfId="133"/>
    <tableColumn id="9" xr3:uid="{C0D19345-DEC3-4019-A8EC-9BA53F7AFD17}" name="Kvartal 3 2025" totalsRowFunction="sum" dataDxfId="130" totalsRowDxfId="131"/>
    <tableColumn id="10" xr3:uid="{CE1A6556-2C24-4C9D-B84B-3D59C346CEC8}" name="Kvartal 4 2025" totalsRowFunction="sum" dataDxfId="128" totalsRowDxfId="129"/>
    <tableColumn id="11" xr3:uid="{D561BCDF-1D45-4977-B067-4FE348297E41}" name="2025" totalsRowFunction="sum" dataDxfId="126" totalsRowDxfId="127"/>
    <tableColumn id="12" xr3:uid="{17BCA3DB-3E0C-42B3-885F-1D80B2F67494}" name="Förändring kv 1 från 2024-2025" totalsRowFunction="custom" dataDxfId="124" totalsRowDxfId="125">
      <totalsRowFormula>K29/F29-1</totalsRowFormula>
    </tableColumn>
    <tableColumn id="13" xr3:uid="{635E4C01-7BB1-4957-993F-30966CA2E1E8}" name="Förändring kv 1-1 från 2024–2025" totalsRowFunction="custom" dataDxfId="122" totalsRowDxfId="123">
      <totalsRowFormula>O29/SUM(F29:F29)-1</totalsRowFormula>
    </tableColumn>
    <tableColumn id="14" xr3:uid="{A1058AA6-4967-4E26-A9FF-043151338A31}" name="Procentuell andel 2025*" totalsRowFunction="sum" dataDxfId="120" totalsRowDxfId="121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et slaktade storboskap" altTextSummary="Tabellen visar de större slakterierna kvartalsvis i år och förra året samt årsvis ytterligare fyra år tillbak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772166-38E8-4D21-BA6C-52D1FBF952C2}" name="Tabell_Kalv" displayName="Tabell_Kalv" ref="A2:R24" totalsRowCount="1" headerRowDxfId="119" dataDxfId="118" totalsRowDxfId="117">
  <autoFilter ref="A2:R23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CBAD4FA2-42BD-4689-93D0-CAFAE5F6908B}" name="Anläggning" totalsRowLabel="Total svensk slakt" dataDxfId="116"/>
    <tableColumn id="19" xr3:uid="{1E03E0F8-3075-4963-815F-CBBFF1A12CAB}" name="2020" totalsRowFunction="sum" dataDxfId="114" totalsRowDxfId="115"/>
    <tableColumn id="20" xr3:uid="{26E767AE-72A0-4DE7-A91E-4846DEB1B187}" name="2021" totalsRowFunction="sum" dataDxfId="112" totalsRowDxfId="113"/>
    <tableColumn id="21" xr3:uid="{5E87A518-A486-47BF-B961-0B2FE984ADDD}" name="2022" totalsRowFunction="sum" dataDxfId="110" totalsRowDxfId="111"/>
    <tableColumn id="22" xr3:uid="{E0E5083A-8977-4327-ADCF-2CE7B3742C65}" name="2023" totalsRowFunction="sum" dataDxfId="108" totalsRowDxfId="109"/>
    <tableColumn id="2" xr3:uid="{28541B0B-177F-4D46-8478-E36467146679}" name="Kvartal 1 2024" totalsRowFunction="sum" dataDxfId="106" totalsRowDxfId="107"/>
    <tableColumn id="3" xr3:uid="{C87F446A-6B83-4FEE-96F7-4A3741409417}" name="Kvartal 2 2024" totalsRowFunction="sum" dataDxfId="104" totalsRowDxfId="105"/>
    <tableColumn id="4" xr3:uid="{0803C7CA-DE99-4B8E-9941-6714653AAEC1}" name="Kvartal 3 2024" totalsRowFunction="sum" dataDxfId="102" totalsRowDxfId="103"/>
    <tableColumn id="5" xr3:uid="{F14F8608-3998-49CA-A4CD-B7F28F3D1415}" name="Kvartal 4 2024" totalsRowFunction="sum" dataDxfId="100" totalsRowDxfId="101"/>
    <tableColumn id="6" xr3:uid="{EC2BDE2D-AD2A-4F84-9D0E-D8534AE11DBA}" name="2024" totalsRowFunction="sum" dataDxfId="98" totalsRowDxfId="99"/>
    <tableColumn id="7" xr3:uid="{FF943E07-6793-4481-9B26-B81AA516F3C7}" name="Kvartal 1 2025" totalsRowFunction="sum" dataDxfId="96" totalsRowDxfId="97"/>
    <tableColumn id="8" xr3:uid="{19EB17C2-602B-4400-A85B-4F0353C41B7C}" name="Kvartal 2 2025" totalsRowFunction="sum" dataDxfId="94" totalsRowDxfId="95"/>
    <tableColumn id="9" xr3:uid="{CB4DC1EF-FFA9-45DB-93C6-72120094B959}" name="Kvartal 3 2025" totalsRowFunction="sum" dataDxfId="92" totalsRowDxfId="93"/>
    <tableColumn id="10" xr3:uid="{1F763158-F71B-4BCF-A356-2300D7386118}" name="Kvartal 4 2025" totalsRowFunction="sum" dataDxfId="90" totalsRowDxfId="91"/>
    <tableColumn id="11" xr3:uid="{6BF82643-BB63-41F9-8533-DE8053FCFD74}" name="2025" totalsRowFunction="sum" dataDxfId="88" totalsRowDxfId="89"/>
    <tableColumn id="12" xr3:uid="{04B1B431-3E64-4D32-93C9-AE14ABA8B931}" name="Förändring kv 1 från 2024-2025" totalsRowFunction="custom" dataDxfId="86" totalsRowDxfId="87">
      <totalsRowFormula>K24/F24-1</totalsRowFormula>
    </tableColumn>
    <tableColumn id="13" xr3:uid="{3E02B839-1D0E-4006-8BE9-EDA3AD004966}" name="Förändring kv 1-1 från 2024–2025" totalsRowFunction="custom" dataDxfId="84" totalsRowDxfId="85">
      <totalsRowFormula>O24/SUM(F24:F24)-1</totalsRowFormula>
    </tableColumn>
    <tableColumn id="14" xr3:uid="{9CDC2658-E89A-4363-9CFB-C03DD5ED3016}" name="Procentuell andel 2025*" totalsRowFunction="sum" dataDxfId="82" totalsRowDxfId="83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kalvar" altTextSummary="Tabellen visar de större slakterierna kvartalsvis i år och förra året samt årsvis ytterligare fyra år tillbak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B6CE3F-9FAD-4FD3-A0C6-47B988BCD4FE}" name="Tabell_Får" displayName="Tabell_Får" ref="A2:R29" totalsRowCount="1" headerRowDxfId="81" totalsRowDxfId="80">
  <autoFilter ref="A2:R2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91E966D0-84CF-48A0-8ED7-E171EE7E4197}" name="Anläggning" totalsRowLabel="Total svensk slakt" dataDxfId="79"/>
    <tableColumn id="19" xr3:uid="{0973B2C8-1AC7-4B8B-9695-F0795A03B28A}" name="2020" totalsRowFunction="sum" dataDxfId="77" totalsRowDxfId="78"/>
    <tableColumn id="20" xr3:uid="{C9837912-B607-475E-838F-DF6585B6E162}" name="2021" totalsRowFunction="sum" dataDxfId="75" totalsRowDxfId="76"/>
    <tableColumn id="21" xr3:uid="{9976ADE5-D067-41C6-8660-460BF33828BF}" name="2022" totalsRowFunction="sum" dataDxfId="73" totalsRowDxfId="74"/>
    <tableColumn id="22" xr3:uid="{634DBD5C-3103-4D50-8EE7-B414CBD8A67C}" name="2023" totalsRowFunction="sum" dataDxfId="71" totalsRowDxfId="72"/>
    <tableColumn id="2" xr3:uid="{48809092-DC0E-4348-B299-9360C0516B51}" name="Kvartal 1 2024" totalsRowFunction="sum" dataDxfId="69" totalsRowDxfId="70"/>
    <tableColumn id="3" xr3:uid="{0327F907-66CA-4484-8C40-168976F45984}" name="Kvartal 2 2024" totalsRowFunction="sum" dataDxfId="67" totalsRowDxfId="68"/>
    <tableColumn id="4" xr3:uid="{8697E6B0-0A74-41DB-80D4-75C89BC893E0}" name="Kvartal 3 2024" totalsRowFunction="sum" dataDxfId="65" totalsRowDxfId="66"/>
    <tableColumn id="5" xr3:uid="{B06F8FE2-5B39-4791-B666-ECB839D16355}" name="Kvartal 4 2024" totalsRowFunction="sum" dataDxfId="63" totalsRowDxfId="64"/>
    <tableColumn id="6" xr3:uid="{060F7860-EBF0-4090-9032-F239F309CDA1}" name="2024" totalsRowFunction="sum" dataDxfId="61" totalsRowDxfId="62"/>
    <tableColumn id="7" xr3:uid="{F952E296-A0C6-44BB-84D3-7CBEA3E83315}" name="Kvartal 1 2025" totalsRowFunction="sum" dataDxfId="59" totalsRowDxfId="60"/>
    <tableColumn id="8" xr3:uid="{FC8B2AD5-A6FD-4D30-891E-57E4956154CB}" name="Kvartal 2 2025" totalsRowFunction="sum" dataDxfId="57" totalsRowDxfId="58"/>
    <tableColumn id="9" xr3:uid="{73D6F7ED-B915-47AD-A87D-D046D9317B05}" name="Kvartal 3 2025" totalsRowFunction="sum" dataDxfId="55" totalsRowDxfId="56"/>
    <tableColumn id="10" xr3:uid="{F49FB137-2F58-42BA-A8E2-B4C79B0D452A}" name="Kvartal 4 2025" totalsRowFunction="sum" dataDxfId="53" totalsRowDxfId="54"/>
    <tableColumn id="11" xr3:uid="{319E4040-AED6-4133-9863-6633E058C9A9}" name="2025" totalsRowFunction="sum" dataDxfId="51" totalsRowDxfId="52"/>
    <tableColumn id="12" xr3:uid="{8CD031E5-65A9-4D68-BA57-4C83A9040393}" name="Förändring kv 1 från 2024-2025" totalsRowFunction="custom" dataDxfId="49" totalsRowDxfId="50">
      <totalsRowFormula>K29/F29-1</totalsRowFormula>
    </tableColumn>
    <tableColumn id="13" xr3:uid="{A575C620-44B8-48E3-90BA-B0D2C84B3007}" name="Förändring kv 1-1 från 2024–2025" totalsRowFunction="custom" dataDxfId="47" totalsRowDxfId="48">
      <totalsRowFormula>O29/SUM(F29:F29)-1</totalsRowFormula>
    </tableColumn>
    <tableColumn id="14" xr3:uid="{73C41E1C-DF8E-49E0-A022-C20B7720BB36}" name="Procentuell andel 2025*" totalsRowFunction="sum" dataDxfId="45" totalsRowDxfId="46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får och lamm" altTextSummary="Tabellen visar de större slakterierna kvartalsvis i år och förra året samt årsvis ytterligare fyra år tillbaka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D26CB0-DD11-4FE7-A153-D5B8D3A10E45}" name="Tabell_Häst" displayName="Tabell_Häst" ref="A2:R12" totalsRowCount="1" headerRowDxfId="44" dataDxfId="43" totalsRowDxfId="42">
  <autoFilter ref="A2:R1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89859E2C-0E86-4311-80CD-EB522936392D}" name="Anläggning" totalsRowLabel="Total svensk slakt" dataDxfId="41"/>
    <tableColumn id="19" xr3:uid="{601A73CA-59C9-4174-B8BB-8AED629215CB}" name="2020" totalsRowFunction="sum" dataDxfId="39" totalsRowDxfId="40"/>
    <tableColumn id="20" xr3:uid="{F47CD467-2B87-4036-B1EC-760B1035253E}" name="2021" totalsRowFunction="sum" dataDxfId="37" totalsRowDxfId="38"/>
    <tableColumn id="21" xr3:uid="{6BBC49D1-C8FA-4B04-9770-56512E88E66A}" name="2022" totalsRowFunction="sum" dataDxfId="35" totalsRowDxfId="36"/>
    <tableColumn id="22" xr3:uid="{E002D909-64EB-4AE2-B316-4B9C93610E71}" name="2023" totalsRowFunction="sum" dataDxfId="33" totalsRowDxfId="34"/>
    <tableColumn id="2" xr3:uid="{566C283B-CDC9-468A-BA46-6D020ABC16F4}" name="Kvartal 1 2024" totalsRowFunction="sum" dataDxfId="31" totalsRowDxfId="32"/>
    <tableColumn id="3" xr3:uid="{D98E0C4E-FCD2-44DE-B35D-CA721A45A19F}" name="Kvartal 2 2024" totalsRowFunction="sum" dataDxfId="29" totalsRowDxfId="30"/>
    <tableColumn id="4" xr3:uid="{F9767898-B69F-4B0F-A64C-3EEB4EC09C72}" name="Kvartal 3 2024" totalsRowFunction="sum" dataDxfId="27" totalsRowDxfId="28"/>
    <tableColumn id="5" xr3:uid="{20F98AC5-769A-4BFF-9441-F34783AABA75}" name="Kvartal 4 2024" totalsRowFunction="sum" dataDxfId="25" totalsRowDxfId="26"/>
    <tableColumn id="6" xr3:uid="{7E8A8DA6-DF52-4F48-BC83-405168DC66E0}" name="2024" totalsRowFunction="sum" dataDxfId="23" totalsRowDxfId="24"/>
    <tableColumn id="7" xr3:uid="{F97BAAC4-69C1-4D18-ADC9-DAEEBFC40ED8}" name="Kvartal 1 2025" totalsRowFunction="sum" dataDxfId="21" totalsRowDxfId="22"/>
    <tableColumn id="8" xr3:uid="{3061B658-92C2-4445-95F3-DBF1B28F0D39}" name="Kvartal 2 2025" totalsRowFunction="sum" dataDxfId="19" totalsRowDxfId="20"/>
    <tableColumn id="9" xr3:uid="{E11E7BB1-06AC-411D-847E-880A65C153D3}" name="Kvartal 3 2025" totalsRowFunction="sum" dataDxfId="17" totalsRowDxfId="18"/>
    <tableColumn id="10" xr3:uid="{533F7785-D079-4671-808F-44D975BB5BB9}" name="Kvartal 4 2025" totalsRowFunction="sum" dataDxfId="15" totalsRowDxfId="16"/>
    <tableColumn id="11" xr3:uid="{D00E7FD6-128E-4902-867A-D1B4DA8B34BE}" name="2025" totalsRowFunction="sum" dataDxfId="13" totalsRowDxfId="14"/>
    <tableColumn id="12" xr3:uid="{81BCF124-C1FC-43FD-9EB2-1F469657767B}" name="Förändring kv 1 från 2024-2025" totalsRowFunction="custom" dataDxfId="11" totalsRowDxfId="12">
      <totalsRowFormula>K12/F12-1</totalsRowFormula>
    </tableColumn>
    <tableColumn id="13" xr3:uid="{F4AF3820-C095-415B-AAA2-A22A1BE51D65}" name="Förändring kv 1-1 från 2024–2025" totalsRowFunction="custom" dataDxfId="9" totalsRowDxfId="10">
      <totalsRowFormula>O12/SUM(F12:F12)-1</totalsRowFormula>
    </tableColumn>
    <tableColumn id="14" xr3:uid="{8A3A257D-8CB3-462A-8AD6-232F7EB37A8F}" name="Procentuell andel 2025*" totalsRowFunction="sum" dataDxfId="7" totalsRowDxfId="8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får och lamm" altTextSummary="Tabellen visar de större slakterierna kvartalsvis i år och förra året samt årsvis ytterligare fyra år tillbak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485C83-64C8-4995-B7F6-59F3CF0FAE76}" name="Tabell_Årshistorik" displayName="Tabell_Årshistorik" ref="A2:G27" totalsRowShown="0">
  <autoFilter ref="A2:G27" xr:uid="{D4AD92F7-E702-42E6-963F-C7916247EA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A3:G17">
    <sortCondition descending="1" ref="A6"/>
  </sortState>
  <tableColumns count="7">
    <tableColumn id="1" xr3:uid="{D9720A89-B3C9-4604-9F7F-BEA29BA483F7}" name="År" dataDxfId="6"/>
    <tableColumn id="2" xr3:uid="{6407606F-922B-43F6-89DD-EA48FCFC6CB9}" name="Svin" dataDxfId="5"/>
    <tableColumn id="3" xr3:uid="{C6060C29-72E1-49AB-A8BC-8F85BF177097}" name="Storboskap" dataDxfId="4"/>
    <tableColumn id="4" xr3:uid="{2513444B-6D40-4939-B854-FFEF4C1B7CA6}" name="Kalv" dataDxfId="3"/>
    <tableColumn id="5" xr3:uid="{3BC530AD-2661-464F-95F6-32F682F31A29}" name="Får" dataDxfId="2"/>
    <tableColumn id="6" xr3:uid="{ADD0F6D7-11C1-4C9C-A78E-DAF951B2B2CB}" name="Get" dataDxfId="1"/>
    <tableColumn id="7" xr3:uid="{4280F3CB-7EE5-4C3F-B64A-D25EDF997BBA}" name="Häst" dataDxfId="0"/>
  </tableColumns>
  <tableStyleInfo name="Kvartalsstatistik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05F9-A5DA-46CC-9108-BDB3FCFF7CB8}">
  <sheetPr codeName="flSvin">
    <pageSetUpPr fitToPage="1"/>
  </sheetPr>
  <dimension ref="A1:S6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7" customWidth="1"/>
    <col min="2" max="2" width="8.85546875" bestFit="1" customWidth="1"/>
    <col min="3" max="3" width="9.42578125" customWidth="1"/>
    <col min="4" max="4" width="9.28515625" customWidth="1"/>
    <col min="5" max="5" width="9.140625" customWidth="1"/>
    <col min="6" max="9" width="8.28515625" customWidth="1"/>
    <col min="10" max="10" width="8.7109375" customWidth="1"/>
    <col min="11" max="14" width="8.28515625" customWidth="1"/>
    <col min="15" max="15" width="9.140625" customWidth="1"/>
    <col min="16" max="16" width="10.7109375" customWidth="1"/>
    <col min="17" max="17" width="11.28515625" customWidth="1"/>
    <col min="18" max="18" width="11.5703125" customWidth="1"/>
  </cols>
  <sheetData>
    <row r="1" spans="1:19" ht="92.25" customHeight="1" x14ac:dyDescent="0.25">
      <c r="A1" s="1" t="s">
        <v>0</v>
      </c>
      <c r="J1" s="1"/>
      <c r="R1" s="2"/>
    </row>
    <row r="2" spans="1:19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  <c r="S2" s="8"/>
    </row>
    <row r="3" spans="1:19" ht="15" customHeight="1" x14ac:dyDescent="0.25">
      <c r="A3" s="9" t="s">
        <v>19</v>
      </c>
      <c r="B3" s="10">
        <v>78626</v>
      </c>
      <c r="C3" s="10">
        <v>75524</v>
      </c>
      <c r="D3" s="10">
        <v>67029</v>
      </c>
      <c r="E3" s="10">
        <v>52236</v>
      </c>
      <c r="F3" s="11">
        <v>12964</v>
      </c>
      <c r="G3" s="11">
        <v>12255</v>
      </c>
      <c r="H3" s="11">
        <v>12959</v>
      </c>
      <c r="I3" s="11">
        <v>11859</v>
      </c>
      <c r="J3" s="10">
        <v>50037</v>
      </c>
      <c r="K3" s="12">
        <v>12581</v>
      </c>
      <c r="L3" s="12"/>
      <c r="M3" s="12"/>
      <c r="N3" s="12"/>
      <c r="O3" s="10">
        <v>12581</v>
      </c>
      <c r="P3" s="13">
        <v>-2.9543350817648917E-2</v>
      </c>
      <c r="Q3" s="13">
        <v>-2.9543350817648917E-2</v>
      </c>
      <c r="R3" s="14">
        <v>1.9114657558805564E-2</v>
      </c>
      <c r="S3" s="15"/>
    </row>
    <row r="4" spans="1:19" ht="15" customHeight="1" x14ac:dyDescent="0.25">
      <c r="A4" s="9" t="s">
        <v>20</v>
      </c>
      <c r="B4" s="10">
        <v>50345</v>
      </c>
      <c r="C4" s="10">
        <v>52910</v>
      </c>
      <c r="D4" s="10">
        <v>51544</v>
      </c>
      <c r="E4" s="10">
        <v>51504</v>
      </c>
      <c r="F4" s="11">
        <v>13792</v>
      </c>
      <c r="G4" s="11">
        <v>12265</v>
      </c>
      <c r="H4" s="11">
        <v>12135</v>
      </c>
      <c r="I4" s="11">
        <v>12444</v>
      </c>
      <c r="J4" s="10">
        <v>50636</v>
      </c>
      <c r="K4" s="12">
        <v>12988</v>
      </c>
      <c r="L4" s="12"/>
      <c r="M4" s="12"/>
      <c r="N4" s="12"/>
      <c r="O4" s="10">
        <v>12988</v>
      </c>
      <c r="P4" s="13">
        <v>-5.8294663573085881E-2</v>
      </c>
      <c r="Q4" s="13">
        <v>-5.8294663573085881E-2</v>
      </c>
      <c r="R4" s="14">
        <v>1.9733023795705164E-2</v>
      </c>
    </row>
    <row r="5" spans="1:19" ht="15" customHeight="1" x14ac:dyDescent="0.25">
      <c r="A5" s="9" t="s">
        <v>21</v>
      </c>
      <c r="B5" s="10">
        <v>2242</v>
      </c>
      <c r="C5" s="10">
        <v>2179</v>
      </c>
      <c r="D5" s="10">
        <v>2226</v>
      </c>
      <c r="E5" s="10">
        <v>1630</v>
      </c>
      <c r="F5" s="11">
        <v>376</v>
      </c>
      <c r="G5" s="11">
        <v>541</v>
      </c>
      <c r="H5" s="11">
        <v>440</v>
      </c>
      <c r="I5" s="11">
        <v>536</v>
      </c>
      <c r="J5" s="10">
        <v>1893</v>
      </c>
      <c r="K5" s="12">
        <v>443</v>
      </c>
      <c r="L5" s="12"/>
      <c r="M5" s="12"/>
      <c r="N5" s="12"/>
      <c r="O5" s="10">
        <v>443</v>
      </c>
      <c r="P5" s="13">
        <v>0.17819148936170204</v>
      </c>
      <c r="Q5" s="13">
        <v>0.17819148936170204</v>
      </c>
      <c r="R5" s="14">
        <v>6.7306202198162831E-4</v>
      </c>
    </row>
    <row r="6" spans="1:19" ht="15" customHeight="1" x14ac:dyDescent="0.25">
      <c r="A6" s="9" t="s">
        <v>22</v>
      </c>
      <c r="B6" s="10">
        <v>207876</v>
      </c>
      <c r="C6" s="10">
        <v>204679</v>
      </c>
      <c r="D6" s="10">
        <v>210698</v>
      </c>
      <c r="E6" s="10">
        <v>208268</v>
      </c>
      <c r="F6" s="11">
        <v>54632</v>
      </c>
      <c r="G6" s="11">
        <v>54412</v>
      </c>
      <c r="H6" s="11">
        <v>53781</v>
      </c>
      <c r="I6" s="11">
        <v>50897</v>
      </c>
      <c r="J6" s="10">
        <v>213722</v>
      </c>
      <c r="K6" s="12">
        <v>54523</v>
      </c>
      <c r="L6" s="12"/>
      <c r="M6" s="12"/>
      <c r="N6" s="12"/>
      <c r="O6" s="10">
        <v>54523</v>
      </c>
      <c r="P6" s="13">
        <v>-1.9951676673012342E-3</v>
      </c>
      <c r="Q6" s="13">
        <v>-1.9951676673012342E-3</v>
      </c>
      <c r="R6" s="14">
        <v>8.2838285834095526E-2</v>
      </c>
    </row>
    <row r="7" spans="1:19" ht="15" customHeight="1" x14ac:dyDescent="0.25">
      <c r="A7" s="9" t="s">
        <v>23</v>
      </c>
      <c r="B7" s="10">
        <v>47191</v>
      </c>
      <c r="C7" s="10">
        <v>58126</v>
      </c>
      <c r="D7" s="10">
        <v>60953</v>
      </c>
      <c r="E7" s="10">
        <v>56468</v>
      </c>
      <c r="F7" s="11">
        <v>16031</v>
      </c>
      <c r="G7" s="11">
        <v>14615</v>
      </c>
      <c r="H7" s="11">
        <v>16602</v>
      </c>
      <c r="I7" s="11">
        <v>14503</v>
      </c>
      <c r="J7" s="10">
        <v>61751</v>
      </c>
      <c r="K7" s="12">
        <v>15253</v>
      </c>
      <c r="L7" s="12"/>
      <c r="M7" s="12"/>
      <c r="N7" s="12"/>
      <c r="O7" s="10">
        <v>15253</v>
      </c>
      <c r="P7" s="13">
        <v>-4.8530971243216259E-2</v>
      </c>
      <c r="Q7" s="13">
        <v>-4.8530971243216259E-2</v>
      </c>
      <c r="R7" s="14">
        <v>2.317430027378279E-2</v>
      </c>
    </row>
    <row r="8" spans="1:19" ht="15" customHeight="1" x14ac:dyDescent="0.25">
      <c r="A8" s="9" t="s">
        <v>24</v>
      </c>
      <c r="B8" s="10">
        <v>381212</v>
      </c>
      <c r="C8" s="10">
        <v>396781</v>
      </c>
      <c r="D8" s="10">
        <v>399539</v>
      </c>
      <c r="E8" s="10">
        <v>382237</v>
      </c>
      <c r="F8" s="11">
        <v>99597</v>
      </c>
      <c r="G8" s="11">
        <v>94941</v>
      </c>
      <c r="H8" s="11">
        <v>98948</v>
      </c>
      <c r="I8" s="11">
        <v>97019</v>
      </c>
      <c r="J8" s="10">
        <v>390505</v>
      </c>
      <c r="K8" s="12">
        <v>97876</v>
      </c>
      <c r="L8" s="12"/>
      <c r="M8" s="12"/>
      <c r="N8" s="12"/>
      <c r="O8" s="10">
        <v>97876</v>
      </c>
      <c r="P8" s="13">
        <v>-1.7279636936855525E-2</v>
      </c>
      <c r="Q8" s="13">
        <v>-1.7279636936855525E-2</v>
      </c>
      <c r="R8" s="14">
        <v>0.14870568501912834</v>
      </c>
    </row>
    <row r="9" spans="1:19" ht="15" customHeight="1" x14ac:dyDescent="0.25">
      <c r="A9" s="9" t="s">
        <v>25</v>
      </c>
      <c r="B9" s="10">
        <v>397509</v>
      </c>
      <c r="C9" s="10">
        <v>393976</v>
      </c>
      <c r="D9" s="10">
        <v>399235</v>
      </c>
      <c r="E9" s="10">
        <v>368386</v>
      </c>
      <c r="F9" s="11">
        <v>99392</v>
      </c>
      <c r="G9" s="11">
        <v>93660</v>
      </c>
      <c r="H9" s="11">
        <v>99755</v>
      </c>
      <c r="I9" s="11">
        <v>96943</v>
      </c>
      <c r="J9" s="10">
        <v>389750</v>
      </c>
      <c r="K9" s="12">
        <v>98404</v>
      </c>
      <c r="L9" s="12"/>
      <c r="M9" s="12"/>
      <c r="N9" s="12"/>
      <c r="O9" s="10">
        <v>98404</v>
      </c>
      <c r="P9" s="13">
        <v>-9.9404378622022227E-3</v>
      </c>
      <c r="Q9" s="13">
        <v>-9.9404378622022227E-3</v>
      </c>
      <c r="R9" s="14">
        <v>0.14950788986699809</v>
      </c>
    </row>
    <row r="10" spans="1:19" ht="15" customHeight="1" x14ac:dyDescent="0.25">
      <c r="A10" s="9" t="s">
        <v>26</v>
      </c>
      <c r="B10" s="10">
        <v>249504</v>
      </c>
      <c r="C10" s="10">
        <v>247645</v>
      </c>
      <c r="D10" s="10">
        <v>244006</v>
      </c>
      <c r="E10" s="10">
        <v>232800</v>
      </c>
      <c r="F10" s="11">
        <v>60933</v>
      </c>
      <c r="G10" s="11">
        <v>56905</v>
      </c>
      <c r="H10" s="11">
        <v>60685</v>
      </c>
      <c r="I10" s="11">
        <v>57178</v>
      </c>
      <c r="J10" s="10">
        <v>235701</v>
      </c>
      <c r="K10" s="12">
        <v>57318</v>
      </c>
      <c r="L10" s="12"/>
      <c r="M10" s="12"/>
      <c r="N10" s="12"/>
      <c r="O10" s="10">
        <v>57318</v>
      </c>
      <c r="P10" s="13">
        <v>-5.9327458027669699E-2</v>
      </c>
      <c r="Q10" s="13">
        <v>-5.9327458027669699E-2</v>
      </c>
      <c r="R10" s="14">
        <v>8.7084805814769684E-2</v>
      </c>
    </row>
    <row r="11" spans="1:19" ht="15" customHeight="1" x14ac:dyDescent="0.25">
      <c r="A11" s="9" t="s">
        <v>27</v>
      </c>
      <c r="B11" s="10">
        <v>28220</v>
      </c>
      <c r="C11" s="10">
        <v>35961</v>
      </c>
      <c r="D11" s="10">
        <v>39651</v>
      </c>
      <c r="E11" s="10">
        <v>35146</v>
      </c>
      <c r="F11" s="11">
        <v>8505</v>
      </c>
      <c r="G11" s="11">
        <v>7818</v>
      </c>
      <c r="H11" s="11">
        <v>8010</v>
      </c>
      <c r="I11" s="11">
        <v>7388</v>
      </c>
      <c r="J11" s="10">
        <v>31721</v>
      </c>
      <c r="K11" s="12">
        <v>7745</v>
      </c>
      <c r="L11" s="12"/>
      <c r="M11" s="12"/>
      <c r="N11" s="12"/>
      <c r="O11" s="10">
        <v>7745</v>
      </c>
      <c r="P11" s="13">
        <v>-8.9359200470311539E-2</v>
      </c>
      <c r="Q11" s="13">
        <v>-8.9359200470311539E-2</v>
      </c>
      <c r="R11" s="14">
        <v>1.1767190429453072E-2</v>
      </c>
    </row>
    <row r="12" spans="1:19" ht="15" customHeight="1" x14ac:dyDescent="0.25">
      <c r="A12" s="9" t="s">
        <v>28</v>
      </c>
      <c r="B12" s="10">
        <v>31306</v>
      </c>
      <c r="C12" s="10">
        <v>32085</v>
      </c>
      <c r="D12" s="10">
        <v>28556</v>
      </c>
      <c r="E12" s="10">
        <v>23771</v>
      </c>
      <c r="F12" s="11">
        <v>5983</v>
      </c>
      <c r="G12" s="11">
        <v>5804</v>
      </c>
      <c r="H12" s="11">
        <v>6132</v>
      </c>
      <c r="I12" s="11">
        <v>4613</v>
      </c>
      <c r="J12" s="10">
        <v>22532</v>
      </c>
      <c r="K12" s="12">
        <v>3249</v>
      </c>
      <c r="L12" s="12"/>
      <c r="M12" s="12"/>
      <c r="N12" s="12"/>
      <c r="O12" s="10">
        <v>3249</v>
      </c>
      <c r="P12" s="13">
        <v>-0.45696139060671903</v>
      </c>
      <c r="Q12" s="13">
        <v>-0.45696139060671903</v>
      </c>
      <c r="R12" s="14">
        <v>4.936294603653071E-3</v>
      </c>
    </row>
    <row r="13" spans="1:19" ht="15" customHeight="1" x14ac:dyDescent="0.25">
      <c r="A13" s="9" t="s">
        <v>29</v>
      </c>
      <c r="B13" s="10">
        <v>66805</v>
      </c>
      <c r="C13" s="10">
        <v>70437</v>
      </c>
      <c r="D13" s="10">
        <v>68452</v>
      </c>
      <c r="E13" s="10">
        <v>64095</v>
      </c>
      <c r="F13" s="11">
        <v>16940</v>
      </c>
      <c r="G13" s="11">
        <v>16642</v>
      </c>
      <c r="H13" s="11">
        <v>16048</v>
      </c>
      <c r="I13" s="11">
        <v>15513</v>
      </c>
      <c r="J13" s="10">
        <v>65143</v>
      </c>
      <c r="K13" s="12">
        <v>16784</v>
      </c>
      <c r="L13" s="12"/>
      <c r="M13" s="12"/>
      <c r="N13" s="12"/>
      <c r="O13" s="10">
        <v>16784</v>
      </c>
      <c r="P13" s="13">
        <v>-9.208972845336505E-3</v>
      </c>
      <c r="Q13" s="13">
        <v>-9.208972845336505E-3</v>
      </c>
      <c r="R13" s="14">
        <v>2.550039046713239E-2</v>
      </c>
    </row>
    <row r="14" spans="1:19" ht="15" customHeight="1" x14ac:dyDescent="0.25">
      <c r="A14" s="9" t="s">
        <v>30</v>
      </c>
      <c r="B14" s="10">
        <v>2646</v>
      </c>
      <c r="C14" s="10">
        <v>2365</v>
      </c>
      <c r="D14" s="10">
        <v>2289</v>
      </c>
      <c r="E14" s="10">
        <v>2697</v>
      </c>
      <c r="F14" s="11">
        <v>535</v>
      </c>
      <c r="G14" s="11">
        <v>647</v>
      </c>
      <c r="H14" s="11">
        <v>753</v>
      </c>
      <c r="I14" s="11">
        <v>771</v>
      </c>
      <c r="J14" s="10">
        <v>2706</v>
      </c>
      <c r="K14" s="12">
        <v>487</v>
      </c>
      <c r="L14" s="12"/>
      <c r="M14" s="12"/>
      <c r="N14" s="12"/>
      <c r="O14" s="10">
        <v>487</v>
      </c>
      <c r="P14" s="13">
        <v>-8.9719626168224265E-2</v>
      </c>
      <c r="Q14" s="13">
        <v>-8.9719626168224265E-2</v>
      </c>
      <c r="R14" s="14">
        <v>7.3991242597077418E-4</v>
      </c>
    </row>
    <row r="15" spans="1:19" ht="15" customHeight="1" x14ac:dyDescent="0.25">
      <c r="A15" s="9" t="s">
        <v>31</v>
      </c>
      <c r="B15" s="10">
        <v>476</v>
      </c>
      <c r="C15" s="10">
        <v>384</v>
      </c>
      <c r="D15" s="10">
        <v>613</v>
      </c>
      <c r="E15" s="10">
        <v>594</v>
      </c>
      <c r="F15" s="11">
        <v>251</v>
      </c>
      <c r="G15" s="11">
        <v>321</v>
      </c>
      <c r="H15" s="11">
        <v>273</v>
      </c>
      <c r="I15" s="11">
        <v>340</v>
      </c>
      <c r="J15" s="10">
        <v>1185</v>
      </c>
      <c r="K15" s="12">
        <v>264</v>
      </c>
      <c r="L15" s="12"/>
      <c r="M15" s="12"/>
      <c r="N15" s="12"/>
      <c r="O15" s="10">
        <v>264</v>
      </c>
      <c r="P15" s="13">
        <v>5.1792828685258918E-2</v>
      </c>
      <c r="Q15" s="13">
        <v>5.1792828685258918E-2</v>
      </c>
      <c r="R15" s="14">
        <v>4.0110242393487556E-4</v>
      </c>
    </row>
    <row r="16" spans="1:19" ht="15" customHeight="1" x14ac:dyDescent="0.25">
      <c r="A16" s="9" t="s">
        <v>32</v>
      </c>
      <c r="B16" s="10">
        <v>689218</v>
      </c>
      <c r="C16" s="10">
        <v>712620</v>
      </c>
      <c r="D16" s="10">
        <v>730029</v>
      </c>
      <c r="E16" s="10">
        <v>738536</v>
      </c>
      <c r="F16" s="11">
        <v>174618</v>
      </c>
      <c r="G16" s="11">
        <v>172435</v>
      </c>
      <c r="H16" s="11">
        <v>186707</v>
      </c>
      <c r="I16" s="11">
        <v>186157</v>
      </c>
      <c r="J16" s="10">
        <v>719917</v>
      </c>
      <c r="K16" s="12">
        <v>189957</v>
      </c>
      <c r="L16" s="12"/>
      <c r="M16" s="12"/>
      <c r="N16" s="12"/>
      <c r="O16" s="10">
        <v>189957</v>
      </c>
      <c r="P16" s="13">
        <v>8.7843177679276963E-2</v>
      </c>
      <c r="Q16" s="13">
        <v>8.7843177679276963E-2</v>
      </c>
      <c r="R16" s="14">
        <v>0.28860686796741347</v>
      </c>
    </row>
    <row r="17" spans="1:18" ht="15" customHeight="1" x14ac:dyDescent="0.25">
      <c r="A17" s="9" t="s">
        <v>33</v>
      </c>
      <c r="B17" s="10">
        <v>345840</v>
      </c>
      <c r="C17" s="10">
        <v>334384</v>
      </c>
      <c r="D17" s="10">
        <v>340815</v>
      </c>
      <c r="E17" s="10">
        <v>334188</v>
      </c>
      <c r="F17" s="11">
        <v>83011</v>
      </c>
      <c r="G17" s="11">
        <v>80086</v>
      </c>
      <c r="H17" s="11">
        <v>83893</v>
      </c>
      <c r="I17" s="11">
        <v>82254</v>
      </c>
      <c r="J17" s="10">
        <v>329244</v>
      </c>
      <c r="K17" s="12">
        <v>89026</v>
      </c>
      <c r="L17" s="12"/>
      <c r="M17" s="12"/>
      <c r="N17" s="12"/>
      <c r="O17" s="10">
        <v>89026</v>
      </c>
      <c r="P17" s="13">
        <v>7.2460276348917718E-2</v>
      </c>
      <c r="Q17" s="13">
        <v>7.2460276348917718E-2</v>
      </c>
      <c r="R17" s="14">
        <v>0.13525963785312967</v>
      </c>
    </row>
    <row r="18" spans="1:18" ht="15" customHeight="1" x14ac:dyDescent="0.25">
      <c r="A18" s="16" t="s">
        <v>34</v>
      </c>
      <c r="B18" s="10">
        <v>38565</v>
      </c>
      <c r="C18" s="10">
        <v>27791</v>
      </c>
      <c r="D18" s="10">
        <v>23293</v>
      </c>
      <c r="E18" s="10">
        <v>15778</v>
      </c>
      <c r="F18" s="11">
        <v>2813</v>
      </c>
      <c r="G18" s="11">
        <v>2758</v>
      </c>
      <c r="H18" s="11">
        <v>1885</v>
      </c>
      <c r="I18" s="11">
        <v>2565</v>
      </c>
      <c r="J18" s="10">
        <v>10021</v>
      </c>
      <c r="K18" s="12">
        <v>1288</v>
      </c>
      <c r="L18" s="12"/>
      <c r="M18" s="12"/>
      <c r="N18" s="12"/>
      <c r="O18" s="10">
        <v>1288</v>
      </c>
      <c r="P18" s="13">
        <v>-0.54212584429434774</v>
      </c>
      <c r="Q18" s="13">
        <v>-0.54212584429434774</v>
      </c>
      <c r="R18" s="14">
        <v>1.9568936440459081E-3</v>
      </c>
    </row>
    <row r="19" spans="1:18" ht="15" customHeight="1" x14ac:dyDescent="0.25">
      <c r="A19" t="s">
        <v>35</v>
      </c>
      <c r="B19" s="17">
        <f>SUBTOTAL(109,Tabell_Gris[2020])</f>
        <v>2617581</v>
      </c>
      <c r="C19" s="17">
        <f>SUBTOTAL(109,Tabell_Gris[2021])</f>
        <v>2647847</v>
      </c>
      <c r="D19" s="17">
        <f>SUBTOTAL(109,Tabell_Gris[2022])</f>
        <v>2668928</v>
      </c>
      <c r="E19" s="17">
        <f>SUBTOTAL(109,Tabell_Gris[2023])</f>
        <v>2568334</v>
      </c>
      <c r="F19" s="17">
        <f>SUBTOTAL(109,Tabell_Gris[Kvartal 1 2024])</f>
        <v>650373</v>
      </c>
      <c r="G19" s="17">
        <f>SUBTOTAL(109,Tabell_Gris[Kvartal 2 2024])</f>
        <v>626105</v>
      </c>
      <c r="H19" s="17">
        <f>SUBTOTAL(109,Tabell_Gris[Kvartal 3 2024])</f>
        <v>659006</v>
      </c>
      <c r="I19" s="17">
        <f>SUBTOTAL(109,Tabell_Gris[Kvartal 4 2024])</f>
        <v>640980</v>
      </c>
      <c r="J19" s="17">
        <f>SUBTOTAL(109,Tabell_Gris[2024])</f>
        <v>2576464</v>
      </c>
      <c r="K19" s="17">
        <f>SUBTOTAL(109,Tabell_Gris[Kvartal 1 2025])</f>
        <v>658186</v>
      </c>
      <c r="L19" s="17">
        <f>SUBTOTAL(109,Tabell_Gris[Kvartal 2 2025])</f>
        <v>0</v>
      </c>
      <c r="M19" s="17">
        <f>SUBTOTAL(109,Tabell_Gris[Kvartal 3 2025])</f>
        <v>0</v>
      </c>
      <c r="N19" s="17">
        <f>SUBTOTAL(109,Tabell_Gris[Kvartal 4 2025])</f>
        <v>0</v>
      </c>
      <c r="O19" s="17">
        <f>SUBTOTAL(109,Tabell_Gris[2025])</f>
        <v>658186</v>
      </c>
      <c r="P19" s="18">
        <f>K19/F19-1</f>
        <v>1.2013106325139633E-2</v>
      </c>
      <c r="Q19" s="18">
        <f>O19/SUM(F19:F19)-1</f>
        <v>1.2013106325139633E-2</v>
      </c>
      <c r="R19" s="19">
        <f>SUBTOTAL(109,Tabell_Gris[Procentuell andel 2025*])</f>
        <v>1</v>
      </c>
    </row>
    <row r="20" spans="1:18" ht="15" customHeight="1" x14ac:dyDescent="0.25">
      <c r="A20" t="s">
        <v>36</v>
      </c>
    </row>
    <row r="21" spans="1:18" ht="15" customHeight="1" x14ac:dyDescent="0.25">
      <c r="A21" t="s">
        <v>37</v>
      </c>
    </row>
    <row r="22" spans="1:18" ht="15" customHeight="1" x14ac:dyDescent="0.25">
      <c r="A22" t="s">
        <v>38</v>
      </c>
    </row>
    <row r="23" spans="1:18" ht="15" customHeight="1" x14ac:dyDescent="0.25">
      <c r="A23" t="s">
        <v>39</v>
      </c>
    </row>
    <row r="24" spans="1:18" ht="15" customHeight="1" x14ac:dyDescent="0.25"/>
    <row r="25" spans="1:18" ht="15" customHeight="1" x14ac:dyDescent="0.25"/>
    <row r="26" spans="1:18" ht="15" customHeight="1" x14ac:dyDescent="0.25"/>
    <row r="27" spans="1:18" ht="15" customHeight="1" x14ac:dyDescent="0.25"/>
    <row r="28" spans="1:18" ht="15" customHeight="1" x14ac:dyDescent="0.25"/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pageMargins left="0.70866141732283472" right="0.31496062992125984" top="0.55118110236220474" bottom="0.74803149606299213" header="0.31496062992125984" footer="0.31496062992125984"/>
  <pageSetup paperSize="9" scale="7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4820-7310-4750-B297-B50AC335F03F}">
  <sheetPr codeName="flStorb">
    <pageSetUpPr fitToPage="1"/>
  </sheetPr>
  <dimension ref="A1:R79"/>
  <sheetViews>
    <sheetView workbookViewId="0">
      <selection activeCell="A2" sqref="A2"/>
    </sheetView>
  </sheetViews>
  <sheetFormatPr defaultColWidth="9.140625" defaultRowHeight="15" x14ac:dyDescent="0.25"/>
  <cols>
    <col min="1" max="1" width="27" customWidth="1"/>
    <col min="2" max="15" width="8.28515625" customWidth="1"/>
    <col min="16" max="16" width="9.28515625" customWidth="1"/>
    <col min="17" max="17" width="10.140625" customWidth="1"/>
    <col min="18" max="18" width="10" customWidth="1"/>
  </cols>
  <sheetData>
    <row r="1" spans="1:18" ht="92.25" customHeight="1" x14ac:dyDescent="0.25">
      <c r="A1" s="1" t="s">
        <v>40</v>
      </c>
      <c r="C1" s="1"/>
      <c r="J1" s="1"/>
      <c r="R1" s="2"/>
    </row>
    <row r="2" spans="1:18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25">
      <c r="A3" s="9" t="s">
        <v>41</v>
      </c>
      <c r="B3" s="10">
        <v>1442</v>
      </c>
      <c r="C3" s="10">
        <v>1385</v>
      </c>
      <c r="D3" s="10">
        <v>1479</v>
      </c>
      <c r="E3" s="10">
        <v>1761</v>
      </c>
      <c r="F3" s="11">
        <v>385</v>
      </c>
      <c r="G3" s="11">
        <v>412</v>
      </c>
      <c r="H3" s="11">
        <v>352</v>
      </c>
      <c r="I3" s="11">
        <v>469</v>
      </c>
      <c r="J3" s="20">
        <v>1618</v>
      </c>
      <c r="K3" s="12">
        <v>392</v>
      </c>
      <c r="L3" s="12"/>
      <c r="M3" s="12"/>
      <c r="N3" s="12"/>
      <c r="O3" s="10">
        <v>392</v>
      </c>
      <c r="P3" s="13">
        <v>1.8181818181818077E-2</v>
      </c>
      <c r="Q3" s="13">
        <v>1.8181818181818077E-2</v>
      </c>
      <c r="R3" s="14">
        <v>4.4067225001405202E-3</v>
      </c>
    </row>
    <row r="4" spans="1:18" ht="15" customHeight="1" x14ac:dyDescent="0.25">
      <c r="A4" s="9" t="s">
        <v>42</v>
      </c>
      <c r="B4" s="10">
        <v>1755</v>
      </c>
      <c r="C4" s="10">
        <v>1922</v>
      </c>
      <c r="D4" s="10">
        <v>2108</v>
      </c>
      <c r="E4" s="10">
        <v>2098</v>
      </c>
      <c r="F4" s="11">
        <v>471</v>
      </c>
      <c r="G4" s="11">
        <v>544</v>
      </c>
      <c r="H4" s="11">
        <v>497</v>
      </c>
      <c r="I4" s="11">
        <v>472</v>
      </c>
      <c r="J4" s="20">
        <v>1984</v>
      </c>
      <c r="K4" s="12">
        <v>471</v>
      </c>
      <c r="L4" s="12"/>
      <c r="M4" s="12"/>
      <c r="N4" s="12"/>
      <c r="O4" s="10">
        <v>471</v>
      </c>
      <c r="P4" s="13">
        <v>0</v>
      </c>
      <c r="Q4" s="13">
        <v>0</v>
      </c>
      <c r="R4" s="14">
        <v>5.2948119835872073E-3</v>
      </c>
    </row>
    <row r="5" spans="1:18" ht="15" customHeight="1" x14ac:dyDescent="0.25">
      <c r="A5" s="9" t="s">
        <v>22</v>
      </c>
      <c r="B5" s="10">
        <v>17416</v>
      </c>
      <c r="C5" s="10">
        <v>16340</v>
      </c>
      <c r="D5" s="10">
        <v>16534</v>
      </c>
      <c r="E5" s="10">
        <v>19177</v>
      </c>
      <c r="F5" s="11">
        <v>4436</v>
      </c>
      <c r="G5" s="11">
        <v>4333</v>
      </c>
      <c r="H5" s="11">
        <v>4868</v>
      </c>
      <c r="I5" s="11">
        <v>5621</v>
      </c>
      <c r="J5" s="20">
        <v>19258</v>
      </c>
      <c r="K5" s="12">
        <v>4237</v>
      </c>
      <c r="L5" s="12"/>
      <c r="M5" s="12"/>
      <c r="N5" s="12"/>
      <c r="O5" s="10">
        <v>4237</v>
      </c>
      <c r="P5" s="13">
        <v>-4.4860234445446401E-2</v>
      </c>
      <c r="Q5" s="13">
        <v>-4.4860234445446401E-2</v>
      </c>
      <c r="R5" s="14">
        <v>4.7630824574222921E-2</v>
      </c>
    </row>
    <row r="6" spans="1:18" ht="15" customHeight="1" x14ac:dyDescent="0.25">
      <c r="A6" s="9" t="s">
        <v>43</v>
      </c>
      <c r="B6" s="10">
        <v>1351</v>
      </c>
      <c r="C6" s="10">
        <v>832</v>
      </c>
      <c r="D6" s="10">
        <v>768</v>
      </c>
      <c r="E6" s="10">
        <v>808</v>
      </c>
      <c r="F6" s="11">
        <v>162</v>
      </c>
      <c r="G6" s="11">
        <v>88</v>
      </c>
      <c r="H6" s="11">
        <v>130</v>
      </c>
      <c r="I6" s="11">
        <v>166</v>
      </c>
      <c r="J6" s="20">
        <v>546</v>
      </c>
      <c r="K6" s="12">
        <v>116</v>
      </c>
      <c r="L6" s="12"/>
      <c r="M6" s="12"/>
      <c r="N6" s="12"/>
      <c r="O6" s="10">
        <v>116</v>
      </c>
      <c r="P6" s="13">
        <v>-0.28395061728395066</v>
      </c>
      <c r="Q6" s="13">
        <v>-0.28395061728395066</v>
      </c>
      <c r="R6" s="14">
        <v>1.304030127592603E-3</v>
      </c>
    </row>
    <row r="7" spans="1:18" ht="15" customHeight="1" x14ac:dyDescent="0.25">
      <c r="A7" s="9" t="s">
        <v>44</v>
      </c>
      <c r="B7" s="10">
        <v>9019</v>
      </c>
      <c r="C7" s="10">
        <v>10001</v>
      </c>
      <c r="D7" s="10">
        <v>9636</v>
      </c>
      <c r="E7" s="10">
        <v>12881</v>
      </c>
      <c r="F7" s="11">
        <v>3317</v>
      </c>
      <c r="G7" s="11">
        <v>2716</v>
      </c>
      <c r="H7" s="11">
        <v>3009</v>
      </c>
      <c r="I7" s="11">
        <v>3304</v>
      </c>
      <c r="J7" s="20">
        <v>12346</v>
      </c>
      <c r="K7" s="12">
        <v>3062</v>
      </c>
      <c r="L7" s="12"/>
      <c r="M7" s="12"/>
      <c r="N7" s="12"/>
      <c r="O7" s="10">
        <v>3062</v>
      </c>
      <c r="P7" s="13">
        <v>-7.6876695809466433E-2</v>
      </c>
      <c r="Q7" s="13">
        <v>-7.6876695809466433E-2</v>
      </c>
      <c r="R7" s="14">
        <v>3.4421898712832334E-2</v>
      </c>
    </row>
    <row r="8" spans="1:18" ht="15" customHeight="1" x14ac:dyDescent="0.25">
      <c r="A8" s="9" t="s">
        <v>45</v>
      </c>
      <c r="B8" s="10">
        <v>14795</v>
      </c>
      <c r="C8" s="10">
        <v>14349</v>
      </c>
      <c r="D8" s="10">
        <v>14578</v>
      </c>
      <c r="E8" s="10">
        <v>14573</v>
      </c>
      <c r="F8" s="11">
        <v>3236</v>
      </c>
      <c r="G8" s="11">
        <v>3104</v>
      </c>
      <c r="H8" s="11">
        <v>3387</v>
      </c>
      <c r="I8" s="11">
        <v>3658</v>
      </c>
      <c r="J8" s="20">
        <v>13385</v>
      </c>
      <c r="K8" s="12">
        <v>2405</v>
      </c>
      <c r="L8" s="12"/>
      <c r="M8" s="12"/>
      <c r="N8" s="12"/>
      <c r="O8" s="10">
        <v>2405</v>
      </c>
      <c r="P8" s="13">
        <v>-0.25679851668726827</v>
      </c>
      <c r="Q8" s="13">
        <v>-0.25679851668726827</v>
      </c>
      <c r="R8" s="14">
        <v>2.7036141869484571E-2</v>
      </c>
    </row>
    <row r="9" spans="1:18" ht="15" customHeight="1" x14ac:dyDescent="0.25">
      <c r="A9" s="9" t="s">
        <v>46</v>
      </c>
      <c r="B9" s="10">
        <v>3479</v>
      </c>
      <c r="C9" s="10">
        <v>3488</v>
      </c>
      <c r="D9" s="10">
        <v>3566</v>
      </c>
      <c r="E9" s="10">
        <v>3267</v>
      </c>
      <c r="F9" s="11">
        <v>816</v>
      </c>
      <c r="G9" s="11">
        <v>897</v>
      </c>
      <c r="H9" s="11">
        <v>891</v>
      </c>
      <c r="I9" s="11">
        <v>908</v>
      </c>
      <c r="J9" s="20">
        <v>3512</v>
      </c>
      <c r="K9" s="12">
        <v>731</v>
      </c>
      <c r="L9" s="12"/>
      <c r="M9" s="12"/>
      <c r="N9" s="12"/>
      <c r="O9" s="10">
        <v>731</v>
      </c>
      <c r="P9" s="13">
        <v>-0.10416666666666663</v>
      </c>
      <c r="Q9" s="13">
        <v>-0.10416666666666663</v>
      </c>
      <c r="R9" s="14">
        <v>8.2176381316395927E-3</v>
      </c>
    </row>
    <row r="10" spans="1:18" ht="15" customHeight="1" x14ac:dyDescent="0.25">
      <c r="A10" s="9" t="s">
        <v>23</v>
      </c>
      <c r="B10" s="10">
        <v>7883</v>
      </c>
      <c r="C10" s="10">
        <v>5917</v>
      </c>
      <c r="D10" s="10">
        <v>7466</v>
      </c>
      <c r="E10" s="10">
        <v>10006</v>
      </c>
      <c r="F10" s="11">
        <v>2811</v>
      </c>
      <c r="G10" s="11">
        <v>2655</v>
      </c>
      <c r="H10" s="11">
        <v>2992</v>
      </c>
      <c r="I10" s="11">
        <v>2687</v>
      </c>
      <c r="J10" s="20">
        <v>11145</v>
      </c>
      <c r="K10" s="12">
        <v>2721</v>
      </c>
      <c r="L10" s="12"/>
      <c r="M10" s="12"/>
      <c r="N10" s="12"/>
      <c r="O10" s="10">
        <v>2721</v>
      </c>
      <c r="P10" s="13">
        <v>-3.2017075773746018E-2</v>
      </c>
      <c r="Q10" s="13">
        <v>-3.2017075773746018E-2</v>
      </c>
      <c r="R10" s="14">
        <v>3.0588499803271316E-2</v>
      </c>
    </row>
    <row r="11" spans="1:18" ht="15" customHeight="1" x14ac:dyDescent="0.25">
      <c r="A11" s="9" t="s">
        <v>47</v>
      </c>
      <c r="B11" s="10">
        <v>5242</v>
      </c>
      <c r="C11" s="10">
        <v>6125</v>
      </c>
      <c r="D11" s="10">
        <v>6078</v>
      </c>
      <c r="E11" s="10">
        <v>5993</v>
      </c>
      <c r="F11" s="11">
        <v>1779</v>
      </c>
      <c r="G11" s="11">
        <v>1638</v>
      </c>
      <c r="H11" s="11">
        <v>1875</v>
      </c>
      <c r="I11" s="11">
        <v>2471</v>
      </c>
      <c r="J11" s="20">
        <v>7763</v>
      </c>
      <c r="K11" s="12">
        <v>1598</v>
      </c>
      <c r="L11" s="12"/>
      <c r="M11" s="12"/>
      <c r="N11" s="12"/>
      <c r="O11" s="10">
        <v>1598</v>
      </c>
      <c r="P11" s="13">
        <v>-0.10174255199550308</v>
      </c>
      <c r="Q11" s="13">
        <v>-0.10174255199550308</v>
      </c>
      <c r="R11" s="14">
        <v>1.7964139171491204E-2</v>
      </c>
    </row>
    <row r="12" spans="1:18" ht="15" customHeight="1" x14ac:dyDescent="0.25">
      <c r="A12" s="9" t="s">
        <v>24</v>
      </c>
      <c r="B12" s="10">
        <v>32514</v>
      </c>
      <c r="C12" s="10">
        <v>34764</v>
      </c>
      <c r="D12" s="10">
        <v>34837</v>
      </c>
      <c r="E12" s="10">
        <v>35543</v>
      </c>
      <c r="F12" s="11">
        <v>8661</v>
      </c>
      <c r="G12" s="11">
        <v>8063</v>
      </c>
      <c r="H12" s="11">
        <v>8878</v>
      </c>
      <c r="I12" s="11">
        <v>8429</v>
      </c>
      <c r="J12" s="20">
        <v>34031</v>
      </c>
      <c r="K12" s="12">
        <v>7251</v>
      </c>
      <c r="L12" s="12"/>
      <c r="M12" s="12"/>
      <c r="N12" s="12"/>
      <c r="O12" s="10">
        <v>7251</v>
      </c>
      <c r="P12" s="13">
        <v>-0.1627987530308278</v>
      </c>
      <c r="Q12" s="13">
        <v>-0.1627987530308278</v>
      </c>
      <c r="R12" s="14">
        <v>8.151312461356866E-2</v>
      </c>
    </row>
    <row r="13" spans="1:18" ht="15" customHeight="1" x14ac:dyDescent="0.25">
      <c r="A13" s="9" t="s">
        <v>25</v>
      </c>
      <c r="B13" s="10">
        <v>57394</v>
      </c>
      <c r="C13" s="10">
        <v>51303</v>
      </c>
      <c r="D13" s="10">
        <v>51489</v>
      </c>
      <c r="E13" s="10">
        <v>54678</v>
      </c>
      <c r="F13" s="11">
        <v>13598</v>
      </c>
      <c r="G13" s="11">
        <v>12792</v>
      </c>
      <c r="H13" s="11">
        <v>14421</v>
      </c>
      <c r="I13" s="11">
        <v>15453</v>
      </c>
      <c r="J13" s="20">
        <v>56264</v>
      </c>
      <c r="K13" s="12">
        <v>11015</v>
      </c>
      <c r="L13" s="12"/>
      <c r="M13" s="12"/>
      <c r="N13" s="12"/>
      <c r="O13" s="10">
        <v>11015</v>
      </c>
      <c r="P13" s="13">
        <v>-0.18995440505956762</v>
      </c>
      <c r="Q13" s="13">
        <v>-0.18995440505956762</v>
      </c>
      <c r="R13" s="14">
        <v>0.12382665392614244</v>
      </c>
    </row>
    <row r="14" spans="1:18" ht="15" customHeight="1" x14ac:dyDescent="0.25">
      <c r="A14" s="9" t="s">
        <v>48</v>
      </c>
      <c r="B14" s="10">
        <v>50476</v>
      </c>
      <c r="C14" s="10">
        <v>43519</v>
      </c>
      <c r="D14" s="10">
        <v>45187</v>
      </c>
      <c r="E14" s="10">
        <v>49956</v>
      </c>
      <c r="F14" s="11">
        <v>12063</v>
      </c>
      <c r="G14" s="11">
        <v>12119</v>
      </c>
      <c r="H14" s="11">
        <v>13450</v>
      </c>
      <c r="I14" s="11">
        <v>14309</v>
      </c>
      <c r="J14" s="20">
        <v>51941</v>
      </c>
      <c r="K14" s="12">
        <v>11086</v>
      </c>
      <c r="L14" s="12"/>
      <c r="M14" s="12"/>
      <c r="N14" s="12"/>
      <c r="O14" s="10">
        <v>11086</v>
      </c>
      <c r="P14" s="13">
        <v>-8.099146149382408E-2</v>
      </c>
      <c r="Q14" s="13">
        <v>-8.099146149382408E-2</v>
      </c>
      <c r="R14" s="14">
        <v>0.12462481029734135</v>
      </c>
    </row>
    <row r="15" spans="1:18" ht="15" customHeight="1" x14ac:dyDescent="0.25">
      <c r="A15" s="9" t="s">
        <v>28</v>
      </c>
      <c r="B15" s="10">
        <v>5467</v>
      </c>
      <c r="C15" s="10">
        <v>5501</v>
      </c>
      <c r="D15" s="10">
        <v>5324</v>
      </c>
      <c r="E15" s="10">
        <v>5905</v>
      </c>
      <c r="F15" s="11">
        <v>1681</v>
      </c>
      <c r="G15" s="11">
        <v>1330</v>
      </c>
      <c r="H15" s="11">
        <v>1443</v>
      </c>
      <c r="I15" s="11">
        <v>1095</v>
      </c>
      <c r="J15" s="20">
        <v>5549</v>
      </c>
      <c r="K15" s="12">
        <v>684</v>
      </c>
      <c r="L15" s="12"/>
      <c r="M15" s="12"/>
      <c r="N15" s="12"/>
      <c r="O15" s="10">
        <v>684</v>
      </c>
      <c r="P15" s="13">
        <v>-0.59309934562760258</v>
      </c>
      <c r="Q15" s="13">
        <v>-0.59309934562760258</v>
      </c>
      <c r="R15" s="14">
        <v>7.6892810971839693E-3</v>
      </c>
    </row>
    <row r="16" spans="1:18" ht="15" customHeight="1" x14ac:dyDescent="0.25">
      <c r="A16" s="9" t="s">
        <v>49</v>
      </c>
      <c r="B16" s="10">
        <v>3376</v>
      </c>
      <c r="C16" s="10">
        <v>2735</v>
      </c>
      <c r="D16" s="10">
        <v>2690</v>
      </c>
      <c r="E16" s="10">
        <v>2660</v>
      </c>
      <c r="F16" s="11">
        <v>688</v>
      </c>
      <c r="G16" s="11">
        <v>668</v>
      </c>
      <c r="H16" s="11">
        <v>712</v>
      </c>
      <c r="I16" s="11">
        <v>755</v>
      </c>
      <c r="J16" s="20">
        <v>2823</v>
      </c>
      <c r="K16" s="12">
        <v>824</v>
      </c>
      <c r="L16" s="12"/>
      <c r="M16" s="12"/>
      <c r="N16" s="12"/>
      <c r="O16" s="10">
        <v>824</v>
      </c>
      <c r="P16" s="13">
        <v>0.19767441860465107</v>
      </c>
      <c r="Q16" s="13">
        <v>0.19767441860465107</v>
      </c>
      <c r="R16" s="14">
        <v>9.2631105615198703E-3</v>
      </c>
    </row>
    <row r="17" spans="1:18" ht="15" customHeight="1" x14ac:dyDescent="0.25">
      <c r="A17" s="9" t="s">
        <v>50</v>
      </c>
      <c r="B17" s="10">
        <v>7398</v>
      </c>
      <c r="C17" s="10">
        <v>7598</v>
      </c>
      <c r="D17" s="10">
        <v>7371</v>
      </c>
      <c r="E17" s="10">
        <v>6808</v>
      </c>
      <c r="F17" s="11">
        <v>1793</v>
      </c>
      <c r="G17" s="11">
        <v>1546</v>
      </c>
      <c r="H17" s="11">
        <v>1683</v>
      </c>
      <c r="I17" s="11">
        <v>1858</v>
      </c>
      <c r="J17" s="20">
        <v>6880</v>
      </c>
      <c r="K17" s="12">
        <v>1493</v>
      </c>
      <c r="L17" s="12"/>
      <c r="M17" s="12"/>
      <c r="N17" s="12"/>
      <c r="O17" s="10">
        <v>1493</v>
      </c>
      <c r="P17" s="13">
        <v>-0.16731734523145569</v>
      </c>
      <c r="Q17" s="13">
        <v>-0.16731734523145569</v>
      </c>
      <c r="R17" s="14">
        <v>1.6783767073239277E-2</v>
      </c>
    </row>
    <row r="18" spans="1:18" ht="15" customHeight="1" x14ac:dyDescent="0.25">
      <c r="A18" s="9" t="s">
        <v>51</v>
      </c>
      <c r="B18" s="10">
        <v>7178</v>
      </c>
      <c r="C18" s="10">
        <v>6761</v>
      </c>
      <c r="D18" s="10">
        <v>6898</v>
      </c>
      <c r="E18" s="10">
        <v>6931</v>
      </c>
      <c r="F18" s="11">
        <v>1786</v>
      </c>
      <c r="G18" s="11">
        <v>1366</v>
      </c>
      <c r="H18" s="11">
        <v>1810</v>
      </c>
      <c r="I18" s="11">
        <v>1713</v>
      </c>
      <c r="J18" s="20">
        <v>6675</v>
      </c>
      <c r="K18" s="12">
        <v>1370</v>
      </c>
      <c r="L18" s="12"/>
      <c r="M18" s="12"/>
      <c r="N18" s="12"/>
      <c r="O18" s="10">
        <v>1370</v>
      </c>
      <c r="P18" s="13">
        <v>-0.2329227323628219</v>
      </c>
      <c r="Q18" s="13">
        <v>-0.2329227323628219</v>
      </c>
      <c r="R18" s="14">
        <v>1.540104547242988E-2</v>
      </c>
    </row>
    <row r="19" spans="1:18" ht="15" customHeight="1" x14ac:dyDescent="0.25">
      <c r="A19" s="9" t="s">
        <v>52</v>
      </c>
      <c r="B19" s="10">
        <v>10916</v>
      </c>
      <c r="C19" s="10">
        <v>10507</v>
      </c>
      <c r="D19" s="10">
        <v>11319</v>
      </c>
      <c r="E19" s="10">
        <v>10920</v>
      </c>
      <c r="F19" s="11">
        <v>2819</v>
      </c>
      <c r="G19" s="11">
        <v>2718</v>
      </c>
      <c r="H19" s="11">
        <v>2514</v>
      </c>
      <c r="I19" s="11">
        <v>2885</v>
      </c>
      <c r="J19" s="20">
        <v>10936</v>
      </c>
      <c r="K19" s="12">
        <v>2487</v>
      </c>
      <c r="L19" s="12"/>
      <c r="M19" s="12"/>
      <c r="N19" s="12"/>
      <c r="O19" s="10">
        <v>2487</v>
      </c>
      <c r="P19" s="13">
        <v>-0.11777225966654847</v>
      </c>
      <c r="Q19" s="13">
        <v>-0.11777225966654847</v>
      </c>
      <c r="R19" s="14">
        <v>2.7957956270024169E-2</v>
      </c>
    </row>
    <row r="20" spans="1:18" ht="15" customHeight="1" x14ac:dyDescent="0.25">
      <c r="A20" s="9" t="s">
        <v>53</v>
      </c>
      <c r="B20" s="10">
        <v>3346</v>
      </c>
      <c r="C20" s="10">
        <v>3001</v>
      </c>
      <c r="D20" s="10">
        <v>2906</v>
      </c>
      <c r="E20" s="10">
        <v>3122</v>
      </c>
      <c r="F20" s="11">
        <v>726</v>
      </c>
      <c r="G20" s="11">
        <v>757</v>
      </c>
      <c r="H20" s="11">
        <v>649</v>
      </c>
      <c r="I20" s="11">
        <v>879</v>
      </c>
      <c r="J20" s="20">
        <v>3011</v>
      </c>
      <c r="K20" s="12">
        <v>358</v>
      </c>
      <c r="L20" s="12"/>
      <c r="M20" s="12"/>
      <c r="N20" s="12"/>
      <c r="O20" s="10">
        <v>358</v>
      </c>
      <c r="P20" s="13">
        <v>-0.50688705234159781</v>
      </c>
      <c r="Q20" s="13">
        <v>-0.50688705234159781</v>
      </c>
      <c r="R20" s="14">
        <v>4.0245067730875165E-3</v>
      </c>
    </row>
    <row r="21" spans="1:18" ht="15" customHeight="1" x14ac:dyDescent="0.25">
      <c r="A21" s="9" t="s">
        <v>29</v>
      </c>
      <c r="B21" s="10">
        <v>18354</v>
      </c>
      <c r="C21" s="10">
        <v>18427</v>
      </c>
      <c r="D21" s="10">
        <v>17275</v>
      </c>
      <c r="E21" s="10">
        <v>18034</v>
      </c>
      <c r="F21" s="11">
        <v>4139</v>
      </c>
      <c r="G21" s="11">
        <v>4579</v>
      </c>
      <c r="H21" s="11">
        <v>5026</v>
      </c>
      <c r="I21" s="11">
        <v>5072</v>
      </c>
      <c r="J21" s="20">
        <v>18816</v>
      </c>
      <c r="K21" s="12">
        <v>3516</v>
      </c>
      <c r="L21" s="12"/>
      <c r="M21" s="12"/>
      <c r="N21" s="12"/>
      <c r="O21" s="10">
        <v>3516</v>
      </c>
      <c r="P21" s="13">
        <v>-0.15051944914230486</v>
      </c>
      <c r="Q21" s="13">
        <v>-0.15051944914230486</v>
      </c>
      <c r="R21" s="14">
        <v>3.9525602832893039E-2</v>
      </c>
    </row>
    <row r="22" spans="1:18" ht="15" customHeight="1" x14ac:dyDescent="0.25">
      <c r="A22" s="9" t="s">
        <v>30</v>
      </c>
      <c r="B22" s="10">
        <v>519</v>
      </c>
      <c r="C22" s="10">
        <v>585</v>
      </c>
      <c r="D22" s="10">
        <v>585</v>
      </c>
      <c r="E22" s="10">
        <v>584</v>
      </c>
      <c r="F22" s="11">
        <v>140</v>
      </c>
      <c r="G22" s="11">
        <v>166</v>
      </c>
      <c r="H22" s="11">
        <v>165</v>
      </c>
      <c r="I22" s="11">
        <v>128</v>
      </c>
      <c r="J22" s="20">
        <v>599</v>
      </c>
      <c r="K22" s="12">
        <v>139</v>
      </c>
      <c r="L22" s="12"/>
      <c r="M22" s="12"/>
      <c r="N22" s="12"/>
      <c r="O22" s="10">
        <v>139</v>
      </c>
      <c r="P22" s="13">
        <v>-7.1428571428571175E-3</v>
      </c>
      <c r="Q22" s="13">
        <v>-7.1428571428571175E-3</v>
      </c>
      <c r="R22" s="14">
        <v>1.5625878253049295E-3</v>
      </c>
    </row>
    <row r="23" spans="1:18" ht="15" customHeight="1" x14ac:dyDescent="0.25">
      <c r="A23" s="9" t="s">
        <v>54</v>
      </c>
      <c r="B23" s="10">
        <v>103198</v>
      </c>
      <c r="C23" s="10">
        <v>101310</v>
      </c>
      <c r="D23" s="10">
        <v>100650</v>
      </c>
      <c r="E23" s="10">
        <v>97327</v>
      </c>
      <c r="F23" s="11">
        <v>26179</v>
      </c>
      <c r="G23" s="11">
        <v>21785</v>
      </c>
      <c r="H23" s="11">
        <v>24319</v>
      </c>
      <c r="I23" s="11">
        <v>26260</v>
      </c>
      <c r="J23" s="20">
        <v>98543</v>
      </c>
      <c r="K23" s="12">
        <v>24067</v>
      </c>
      <c r="L23" s="12"/>
      <c r="M23" s="12"/>
      <c r="N23" s="12"/>
      <c r="O23" s="10">
        <v>24067</v>
      </c>
      <c r="P23" s="13">
        <v>-8.0675350471752116E-2</v>
      </c>
      <c r="Q23" s="13">
        <v>-8.0675350471752116E-2</v>
      </c>
      <c r="R23" s="14">
        <v>0.2705525265583722</v>
      </c>
    </row>
    <row r="24" spans="1:18" ht="15" customHeight="1" x14ac:dyDescent="0.25">
      <c r="A24" s="9" t="s">
        <v>55</v>
      </c>
      <c r="B24" s="10">
        <v>1728</v>
      </c>
      <c r="C24" s="10">
        <v>1576</v>
      </c>
      <c r="D24" s="10">
        <v>1132</v>
      </c>
      <c r="E24" s="10">
        <v>952</v>
      </c>
      <c r="F24" s="11">
        <v>214</v>
      </c>
      <c r="G24" s="11">
        <v>194</v>
      </c>
      <c r="H24" s="11">
        <v>127</v>
      </c>
      <c r="I24" s="11">
        <v>182</v>
      </c>
      <c r="J24" s="20">
        <v>717</v>
      </c>
      <c r="K24" s="12">
        <v>204</v>
      </c>
      <c r="L24" s="12"/>
      <c r="M24" s="12"/>
      <c r="N24" s="12"/>
      <c r="O24" s="10">
        <v>204</v>
      </c>
      <c r="P24" s="13">
        <v>-4.6728971962616828E-2</v>
      </c>
      <c r="Q24" s="13">
        <v>-4.6728971962616828E-2</v>
      </c>
      <c r="R24" s="14">
        <v>2.2932943623180258E-3</v>
      </c>
    </row>
    <row r="25" spans="1:18" ht="15" customHeight="1" x14ac:dyDescent="0.25">
      <c r="A25" s="9" t="s">
        <v>33</v>
      </c>
      <c r="B25" s="10">
        <v>40598</v>
      </c>
      <c r="C25" s="10">
        <v>38141</v>
      </c>
      <c r="D25" s="10">
        <v>37583</v>
      </c>
      <c r="E25" s="10">
        <v>36685</v>
      </c>
      <c r="F25" s="11">
        <v>8803</v>
      </c>
      <c r="G25" s="11">
        <v>8812</v>
      </c>
      <c r="H25" s="11">
        <v>9167</v>
      </c>
      <c r="I25" s="11">
        <v>9672</v>
      </c>
      <c r="J25" s="20">
        <v>36454</v>
      </c>
      <c r="K25" s="12">
        <v>6315</v>
      </c>
      <c r="L25" s="12"/>
      <c r="M25" s="12"/>
      <c r="N25" s="12"/>
      <c r="O25" s="10">
        <v>6315</v>
      </c>
      <c r="P25" s="13">
        <v>-0.28263092127683742</v>
      </c>
      <c r="Q25" s="13">
        <v>-0.28263092127683742</v>
      </c>
      <c r="R25" s="14">
        <v>7.0990950480580073E-2</v>
      </c>
    </row>
    <row r="26" spans="1:18" ht="15" customHeight="1" x14ac:dyDescent="0.25">
      <c r="A26" s="9" t="s">
        <v>56</v>
      </c>
      <c r="B26" s="10">
        <v>5335</v>
      </c>
      <c r="C26" s="10">
        <v>4513</v>
      </c>
      <c r="D26" s="10">
        <v>4422</v>
      </c>
      <c r="E26" s="10">
        <v>1154</v>
      </c>
      <c r="F26" s="11">
        <v>46</v>
      </c>
      <c r="G26" s="11">
        <v>37</v>
      </c>
      <c r="H26" s="11">
        <v>20</v>
      </c>
      <c r="I26" s="11">
        <v>536</v>
      </c>
      <c r="J26" s="20">
        <v>639</v>
      </c>
      <c r="K26" s="12">
        <v>590</v>
      </c>
      <c r="L26" s="12"/>
      <c r="M26" s="12"/>
      <c r="N26" s="12"/>
      <c r="O26" s="10">
        <v>590</v>
      </c>
      <c r="P26" s="13">
        <v>11.826086956521738</v>
      </c>
      <c r="Q26" s="13">
        <v>11.826086956521738</v>
      </c>
      <c r="R26" s="14">
        <v>6.6325670282727225E-3</v>
      </c>
    </row>
    <row r="27" spans="1:18" ht="15" customHeight="1" x14ac:dyDescent="0.25">
      <c r="A27" s="9" t="s">
        <v>57</v>
      </c>
      <c r="B27" s="10">
        <v>1179</v>
      </c>
      <c r="C27" s="10">
        <v>1139</v>
      </c>
      <c r="D27" s="10">
        <v>962</v>
      </c>
      <c r="E27" s="10">
        <v>958</v>
      </c>
      <c r="F27" s="11">
        <v>192</v>
      </c>
      <c r="G27" s="11">
        <v>255</v>
      </c>
      <c r="H27" s="11">
        <v>185</v>
      </c>
      <c r="I27" s="11">
        <v>300</v>
      </c>
      <c r="J27" s="20">
        <v>932</v>
      </c>
      <c r="K27" s="12">
        <v>194</v>
      </c>
      <c r="L27" s="12"/>
      <c r="M27" s="12"/>
      <c r="N27" s="12"/>
      <c r="O27" s="10">
        <v>194</v>
      </c>
      <c r="P27" s="13">
        <v>1.0416666666666741E-2</v>
      </c>
      <c r="Q27" s="13">
        <v>1.0416666666666741E-2</v>
      </c>
      <c r="R27" s="14">
        <v>2.1808779720083188E-3</v>
      </c>
    </row>
    <row r="28" spans="1:18" ht="15" customHeight="1" x14ac:dyDescent="0.25">
      <c r="A28" s="16" t="s">
        <v>34</v>
      </c>
      <c r="B28" s="21">
        <v>8840</v>
      </c>
      <c r="C28" s="21">
        <v>8223</v>
      </c>
      <c r="D28" s="21">
        <v>7373</v>
      </c>
      <c r="E28" s="21">
        <v>7022</v>
      </c>
      <c r="F28" s="22">
        <v>1860</v>
      </c>
      <c r="G28" s="22">
        <v>1874</v>
      </c>
      <c r="H28" s="22">
        <v>1801</v>
      </c>
      <c r="I28" s="22">
        <v>2286</v>
      </c>
      <c r="J28" s="23">
        <v>7821</v>
      </c>
      <c r="K28" s="24">
        <v>1629</v>
      </c>
      <c r="L28" s="24"/>
      <c r="M28" s="24"/>
      <c r="N28" s="24"/>
      <c r="O28" s="21">
        <v>1629</v>
      </c>
      <c r="P28" s="25">
        <v>-0.12419354838709673</v>
      </c>
      <c r="Q28" s="25">
        <v>-0.12419354838709673</v>
      </c>
      <c r="R28" s="26">
        <v>1.8312629981451296E-2</v>
      </c>
    </row>
    <row r="29" spans="1:18" ht="15" customHeight="1" x14ac:dyDescent="0.25">
      <c r="A29" t="s">
        <v>35</v>
      </c>
      <c r="B29" s="17">
        <f>SUBTOTAL(109,Tabell_Storb[2020])</f>
        <v>420198</v>
      </c>
      <c r="C29" s="17">
        <f>SUBTOTAL(109,Tabell_Storb[2021])</f>
        <v>399962</v>
      </c>
      <c r="D29" s="17">
        <f>SUBTOTAL(109,Tabell_Storb[2022])</f>
        <v>400216</v>
      </c>
      <c r="E29" s="17">
        <f>SUBTOTAL(109,Tabell_Storb[2023])</f>
        <v>409803</v>
      </c>
      <c r="F29" s="17">
        <f>SUBTOTAL(109,Tabell_Storb[Kvartal 1 2024])</f>
        <v>102801</v>
      </c>
      <c r="G29" s="17">
        <f>SUBTOTAL(109,Tabell_Storb[Kvartal 2 2024])</f>
        <v>95448</v>
      </c>
      <c r="H29" s="17">
        <f>SUBTOTAL(109,Tabell_Storb[Kvartal 3 2024])</f>
        <v>104371</v>
      </c>
      <c r="I29" s="17">
        <f>SUBTOTAL(109,Tabell_Storb[Kvartal 4 2024])</f>
        <v>111568</v>
      </c>
      <c r="J29" s="17">
        <f>SUBTOTAL(109,Tabell_Storb[2024])</f>
        <v>414188</v>
      </c>
      <c r="K29" s="17">
        <f>SUBTOTAL(109,Tabell_Storb[Kvartal 1 2025])</f>
        <v>88955</v>
      </c>
      <c r="L29" s="17">
        <f>SUBTOTAL(109,Tabell_Storb[Kvartal 2 2025])</f>
        <v>0</v>
      </c>
      <c r="M29" s="17">
        <f>SUBTOTAL(109,Tabell_Storb[Kvartal 3 2025])</f>
        <v>0</v>
      </c>
      <c r="N29" s="17">
        <f>SUBTOTAL(109,Tabell_Storb[Kvartal 4 2025])</f>
        <v>0</v>
      </c>
      <c r="O29" s="17">
        <f>SUBTOTAL(109,Tabell_Storb[2025])</f>
        <v>88955</v>
      </c>
      <c r="P29" s="18">
        <f>K29/F29-1</f>
        <v>-0.13468740576453542</v>
      </c>
      <c r="Q29" s="18">
        <f>O29/SUM(F29:F29)-1</f>
        <v>-0.13468740576453542</v>
      </c>
      <c r="R29" s="19">
        <f>SUBTOTAL(109,Tabell_Storb[Procentuell andel 2025*])</f>
        <v>1</v>
      </c>
    </row>
    <row r="30" spans="1:18" ht="15" customHeight="1" x14ac:dyDescent="0.25">
      <c r="A30" t="s">
        <v>58</v>
      </c>
    </row>
    <row r="31" spans="1:18" ht="15" customHeight="1" x14ac:dyDescent="0.25">
      <c r="A31" t="s">
        <v>37</v>
      </c>
    </row>
    <row r="32" spans="1:18" ht="15" customHeight="1" x14ac:dyDescent="0.25">
      <c r="A32" t="s">
        <v>59</v>
      </c>
    </row>
    <row r="33" spans="1:1" ht="15" customHeight="1" x14ac:dyDescent="0.25">
      <c r="A33" t="s">
        <v>39</v>
      </c>
    </row>
    <row r="34" spans="1:1" ht="15" customHeight="1" x14ac:dyDescent="0.25"/>
    <row r="35" spans="1:1" ht="15" customHeight="1" x14ac:dyDescent="0.25"/>
    <row r="36" spans="1:1" ht="15" customHeight="1" x14ac:dyDescent="0.25"/>
    <row r="37" spans="1:1" ht="15" customHeight="1" x14ac:dyDescent="0.25"/>
    <row r="38" spans="1:1" ht="15" customHeight="1" x14ac:dyDescent="0.25"/>
    <row r="39" spans="1:1" ht="15" customHeight="1" x14ac:dyDescent="0.25"/>
    <row r="40" spans="1:1" ht="15" customHeight="1" x14ac:dyDescent="0.25"/>
    <row r="41" spans="1:1" ht="15" customHeight="1" x14ac:dyDescent="0.25"/>
    <row r="42" spans="1:1" ht="15" customHeight="1" x14ac:dyDescent="0.25"/>
    <row r="43" spans="1:1" ht="15" customHeight="1" x14ac:dyDescent="0.25"/>
    <row r="44" spans="1:1" ht="15" customHeight="1" x14ac:dyDescent="0.25"/>
    <row r="45" spans="1:1" ht="15" customHeight="1" x14ac:dyDescent="0.25"/>
    <row r="46" spans="1:1" ht="15" customHeight="1" x14ac:dyDescent="0.25"/>
    <row r="47" spans="1:1" ht="15" customHeight="1" x14ac:dyDescent="0.25"/>
    <row r="48" spans="1: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</sheetData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3192-905B-456C-9128-4C714FCCB08D}">
  <sheetPr codeName="flKalv">
    <pageSetUpPr fitToPage="1"/>
  </sheetPr>
  <dimension ref="A1:W69"/>
  <sheetViews>
    <sheetView workbookViewId="0">
      <selection activeCell="A2" sqref="A2"/>
    </sheetView>
  </sheetViews>
  <sheetFormatPr defaultColWidth="9.140625" defaultRowHeight="15" x14ac:dyDescent="0.25"/>
  <cols>
    <col min="1" max="1" width="27" customWidth="1"/>
    <col min="2" max="15" width="8.28515625" customWidth="1"/>
    <col min="16" max="16" width="9.28515625" customWidth="1"/>
    <col min="17" max="17" width="10.140625" customWidth="1"/>
    <col min="18" max="18" width="10" customWidth="1"/>
  </cols>
  <sheetData>
    <row r="1" spans="1:23" ht="92.25" customHeight="1" x14ac:dyDescent="0.25">
      <c r="A1" s="1" t="s">
        <v>60</v>
      </c>
      <c r="C1" s="1"/>
      <c r="J1" s="1"/>
      <c r="R1" s="2"/>
    </row>
    <row r="2" spans="1:23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23" ht="15" customHeight="1" x14ac:dyDescent="0.25">
      <c r="A3" s="9" t="s">
        <v>41</v>
      </c>
      <c r="B3" s="10">
        <v>109</v>
      </c>
      <c r="C3" s="10">
        <v>102</v>
      </c>
      <c r="D3" s="10">
        <v>105</v>
      </c>
      <c r="E3" s="10">
        <v>117</v>
      </c>
      <c r="F3" s="11">
        <v>32</v>
      </c>
      <c r="G3" s="11">
        <v>26</v>
      </c>
      <c r="H3" s="11">
        <v>28</v>
      </c>
      <c r="I3" s="11">
        <v>25</v>
      </c>
      <c r="J3" s="10">
        <v>111</v>
      </c>
      <c r="K3" s="12">
        <v>19</v>
      </c>
      <c r="L3" s="12"/>
      <c r="M3" s="27"/>
      <c r="N3" s="27"/>
      <c r="O3" s="10">
        <v>19</v>
      </c>
      <c r="P3" s="28">
        <v>-0.40625</v>
      </c>
      <c r="Q3" s="13">
        <v>-0.40625</v>
      </c>
      <c r="R3" s="14">
        <v>9.0996168582375483E-3</v>
      </c>
      <c r="U3" s="29" t="s">
        <v>61</v>
      </c>
    </row>
    <row r="4" spans="1:23" ht="15" customHeight="1" x14ac:dyDescent="0.25">
      <c r="A4" s="9" t="s">
        <v>62</v>
      </c>
      <c r="B4" s="10">
        <v>19</v>
      </c>
      <c r="C4" s="10">
        <v>62</v>
      </c>
      <c r="D4" s="10">
        <v>58</v>
      </c>
      <c r="E4" s="10">
        <v>59</v>
      </c>
      <c r="F4" s="11">
        <v>20</v>
      </c>
      <c r="G4" s="11">
        <v>14</v>
      </c>
      <c r="H4" s="11">
        <v>13</v>
      </c>
      <c r="I4" s="11">
        <v>14</v>
      </c>
      <c r="J4" s="10">
        <v>61</v>
      </c>
      <c r="K4" s="12">
        <v>16</v>
      </c>
      <c r="L4" s="12"/>
      <c r="M4" s="27"/>
      <c r="N4" s="27"/>
      <c r="O4" s="10">
        <v>16</v>
      </c>
      <c r="P4" s="28">
        <v>-0.19999999999999996</v>
      </c>
      <c r="Q4" s="13">
        <v>-0.19999999999999996</v>
      </c>
      <c r="R4" s="14">
        <v>7.6628352490421452E-3</v>
      </c>
    </row>
    <row r="5" spans="1:23" ht="15" customHeight="1" x14ac:dyDescent="0.25">
      <c r="A5" s="9" t="s">
        <v>63</v>
      </c>
      <c r="B5" s="10">
        <v>82</v>
      </c>
      <c r="C5" s="10">
        <v>100</v>
      </c>
      <c r="D5" s="10">
        <v>130</v>
      </c>
      <c r="E5" s="10">
        <v>135</v>
      </c>
      <c r="F5" s="11">
        <v>32</v>
      </c>
      <c r="G5" s="11">
        <v>31</v>
      </c>
      <c r="H5" s="11">
        <v>20</v>
      </c>
      <c r="I5" s="11">
        <v>36</v>
      </c>
      <c r="J5" s="10">
        <v>119</v>
      </c>
      <c r="K5" s="12">
        <v>33</v>
      </c>
      <c r="L5" s="12"/>
      <c r="M5" s="27"/>
      <c r="N5" s="27"/>
      <c r="O5" s="10">
        <v>33</v>
      </c>
      <c r="P5" s="28">
        <v>3.125E-2</v>
      </c>
      <c r="Q5" s="13">
        <v>3.125E-2</v>
      </c>
      <c r="R5" s="14">
        <v>1.5804597701149427E-2</v>
      </c>
    </row>
    <row r="6" spans="1:23" ht="15" customHeight="1" x14ac:dyDescent="0.25">
      <c r="A6" s="9" t="s">
        <v>22</v>
      </c>
      <c r="B6" s="10">
        <v>280</v>
      </c>
      <c r="C6" s="10">
        <v>245</v>
      </c>
      <c r="D6" s="10">
        <v>230</v>
      </c>
      <c r="E6" s="10">
        <v>209</v>
      </c>
      <c r="F6" s="11">
        <v>56</v>
      </c>
      <c r="G6" s="11">
        <v>58</v>
      </c>
      <c r="H6" s="11">
        <v>93</v>
      </c>
      <c r="I6" s="11">
        <v>112</v>
      </c>
      <c r="J6" s="10">
        <v>319</v>
      </c>
      <c r="K6" s="12">
        <v>57</v>
      </c>
      <c r="L6" s="12"/>
      <c r="M6" s="27"/>
      <c r="N6" s="27"/>
      <c r="O6" s="10">
        <v>57</v>
      </c>
      <c r="P6" s="28">
        <v>1.7857142857142794E-2</v>
      </c>
      <c r="Q6" s="13">
        <v>1.7857142857142794E-2</v>
      </c>
      <c r="R6" s="14">
        <v>2.7298850574712645E-2</v>
      </c>
      <c r="W6" s="29" t="s">
        <v>64</v>
      </c>
    </row>
    <row r="7" spans="1:23" ht="15" customHeight="1" x14ac:dyDescent="0.25">
      <c r="A7" s="9" t="s">
        <v>44</v>
      </c>
      <c r="B7" s="10">
        <v>294</v>
      </c>
      <c r="C7" s="10">
        <v>319</v>
      </c>
      <c r="D7" s="10">
        <v>328</v>
      </c>
      <c r="E7" s="10">
        <v>401</v>
      </c>
      <c r="F7" s="11">
        <v>114</v>
      </c>
      <c r="G7" s="11">
        <v>57</v>
      </c>
      <c r="H7" s="11">
        <v>66</v>
      </c>
      <c r="I7" s="11">
        <v>139</v>
      </c>
      <c r="J7" s="10">
        <v>376</v>
      </c>
      <c r="K7" s="12">
        <v>125</v>
      </c>
      <c r="L7" s="12"/>
      <c r="M7" s="27"/>
      <c r="N7" s="27"/>
      <c r="O7" s="10">
        <v>125</v>
      </c>
      <c r="P7" s="28">
        <v>9.6491228070175517E-2</v>
      </c>
      <c r="Q7" s="13">
        <v>9.6491228070175517E-2</v>
      </c>
      <c r="R7" s="14">
        <v>5.9865900383141761E-2</v>
      </c>
    </row>
    <row r="8" spans="1:23" ht="15" customHeight="1" x14ac:dyDescent="0.25">
      <c r="A8" s="9" t="s">
        <v>45</v>
      </c>
      <c r="B8" s="10">
        <v>247</v>
      </c>
      <c r="C8" s="10">
        <v>169</v>
      </c>
      <c r="D8" s="10">
        <v>95</v>
      </c>
      <c r="E8" s="10">
        <v>512</v>
      </c>
      <c r="F8" s="11">
        <v>427</v>
      </c>
      <c r="G8" s="11">
        <v>339</v>
      </c>
      <c r="H8" s="11">
        <v>42</v>
      </c>
      <c r="I8" s="11">
        <v>485</v>
      </c>
      <c r="J8" s="10">
        <v>1293</v>
      </c>
      <c r="K8" s="12">
        <v>960</v>
      </c>
      <c r="L8" s="12"/>
      <c r="M8" s="27"/>
      <c r="N8" s="27"/>
      <c r="O8" s="10">
        <v>960</v>
      </c>
      <c r="P8" s="28">
        <v>1.2482435597189694</v>
      </c>
      <c r="Q8" s="13">
        <v>1.2482435597189694</v>
      </c>
      <c r="R8" s="14">
        <v>0.45977011494252873</v>
      </c>
    </row>
    <row r="9" spans="1:23" ht="15" customHeight="1" x14ac:dyDescent="0.25">
      <c r="A9" s="9" t="s">
        <v>46</v>
      </c>
      <c r="B9" s="10">
        <v>598</v>
      </c>
      <c r="C9" s="10">
        <v>559</v>
      </c>
      <c r="D9" s="10">
        <v>638</v>
      </c>
      <c r="E9" s="10">
        <v>610</v>
      </c>
      <c r="F9" s="11">
        <v>197</v>
      </c>
      <c r="G9" s="11">
        <v>205</v>
      </c>
      <c r="H9" s="11">
        <v>154</v>
      </c>
      <c r="I9" s="11">
        <v>148</v>
      </c>
      <c r="J9" s="10">
        <v>704</v>
      </c>
      <c r="K9" s="12">
        <v>207</v>
      </c>
      <c r="L9" s="12"/>
      <c r="M9" s="27"/>
      <c r="N9" s="27"/>
      <c r="O9" s="10">
        <v>207</v>
      </c>
      <c r="P9" s="28">
        <v>5.0761421319796884E-2</v>
      </c>
      <c r="Q9" s="13">
        <v>5.0761421319796884E-2</v>
      </c>
      <c r="R9" s="14">
        <v>9.9137931034482762E-2</v>
      </c>
    </row>
    <row r="10" spans="1:23" ht="15" customHeight="1" x14ac:dyDescent="0.25">
      <c r="A10" s="9" t="s">
        <v>23</v>
      </c>
      <c r="B10" s="10">
        <v>34</v>
      </c>
      <c r="C10" s="10">
        <v>28</v>
      </c>
      <c r="D10" s="10">
        <v>31</v>
      </c>
      <c r="E10" s="10">
        <v>15</v>
      </c>
      <c r="F10" s="11">
        <v>11</v>
      </c>
      <c r="G10" s="11">
        <v>11</v>
      </c>
      <c r="H10" s="11">
        <v>5</v>
      </c>
      <c r="I10" s="11">
        <v>17</v>
      </c>
      <c r="J10" s="10">
        <v>44</v>
      </c>
      <c r="K10" s="12">
        <v>8</v>
      </c>
      <c r="L10" s="12"/>
      <c r="M10" s="27"/>
      <c r="N10" s="27"/>
      <c r="O10" s="10">
        <v>8</v>
      </c>
      <c r="P10" s="28">
        <v>-0.27272727272727271</v>
      </c>
      <c r="Q10" s="13">
        <v>-0.27272727272727271</v>
      </c>
      <c r="R10" s="14">
        <v>3.8314176245210726E-3</v>
      </c>
    </row>
    <row r="11" spans="1:23" ht="15" customHeight="1" x14ac:dyDescent="0.25">
      <c r="A11" s="9" t="s">
        <v>47</v>
      </c>
      <c r="B11" s="10">
        <v>61</v>
      </c>
      <c r="C11" s="10">
        <v>43</v>
      </c>
      <c r="D11" s="10">
        <v>12</v>
      </c>
      <c r="E11" s="10">
        <v>86</v>
      </c>
      <c r="F11" s="11">
        <v>23</v>
      </c>
      <c r="G11" s="11">
        <v>10</v>
      </c>
      <c r="H11" s="11">
        <v>8</v>
      </c>
      <c r="I11" s="11">
        <v>29</v>
      </c>
      <c r="J11" s="10">
        <v>70</v>
      </c>
      <c r="K11" s="12">
        <v>28</v>
      </c>
      <c r="L11" s="12"/>
      <c r="M11" s="27"/>
      <c r="N11" s="27"/>
      <c r="O11" s="10">
        <v>28</v>
      </c>
      <c r="P11" s="28">
        <v>0.21739130434782616</v>
      </c>
      <c r="Q11" s="13">
        <v>0.21739130434782616</v>
      </c>
      <c r="R11" s="14">
        <v>1.3409961685823755E-2</v>
      </c>
    </row>
    <row r="12" spans="1:23" ht="15" customHeight="1" x14ac:dyDescent="0.25">
      <c r="A12" s="9" t="s">
        <v>24</v>
      </c>
      <c r="B12" s="10">
        <v>844</v>
      </c>
      <c r="C12" s="10">
        <v>110</v>
      </c>
      <c r="D12" s="10">
        <v>103</v>
      </c>
      <c r="E12" s="10">
        <v>80</v>
      </c>
      <c r="F12" s="11">
        <v>4</v>
      </c>
      <c r="G12" s="11">
        <v>12</v>
      </c>
      <c r="H12" s="11">
        <v>11</v>
      </c>
      <c r="I12" s="11">
        <v>32</v>
      </c>
      <c r="J12" s="10">
        <v>59</v>
      </c>
      <c r="K12" s="12">
        <v>13</v>
      </c>
      <c r="L12" s="12"/>
      <c r="M12" s="27"/>
      <c r="N12" s="27"/>
      <c r="O12" s="10">
        <v>13</v>
      </c>
      <c r="P12" s="28">
        <v>2.25</v>
      </c>
      <c r="Q12" s="13">
        <v>2.25</v>
      </c>
      <c r="R12" s="14">
        <v>6.2260536398467429E-3</v>
      </c>
    </row>
    <row r="13" spans="1:23" ht="15" customHeight="1" x14ac:dyDescent="0.25">
      <c r="A13" s="9" t="s">
        <v>48</v>
      </c>
      <c r="B13" s="10">
        <v>1481</v>
      </c>
      <c r="C13" s="10">
        <v>241</v>
      </c>
      <c r="D13" s="10">
        <v>386</v>
      </c>
      <c r="E13" s="10">
        <v>1182</v>
      </c>
      <c r="F13" s="11">
        <v>355</v>
      </c>
      <c r="G13" s="11">
        <v>325</v>
      </c>
      <c r="H13" s="11">
        <v>202</v>
      </c>
      <c r="I13" s="11">
        <v>87</v>
      </c>
      <c r="J13" s="10">
        <v>969</v>
      </c>
      <c r="K13" s="12">
        <v>93</v>
      </c>
      <c r="L13" s="12"/>
      <c r="M13" s="27"/>
      <c r="N13" s="27"/>
      <c r="O13" s="10">
        <v>93</v>
      </c>
      <c r="P13" s="28">
        <v>-0.73802816901408452</v>
      </c>
      <c r="Q13" s="13">
        <v>-0.73802816901408452</v>
      </c>
      <c r="R13" s="14">
        <v>4.4540229885057472E-2</v>
      </c>
    </row>
    <row r="14" spans="1:23" ht="15" customHeight="1" x14ac:dyDescent="0.25">
      <c r="A14" s="9" t="s">
        <v>65</v>
      </c>
      <c r="B14" s="10">
        <v>8</v>
      </c>
      <c r="C14" s="10">
        <v>25</v>
      </c>
      <c r="D14" s="10">
        <v>21</v>
      </c>
      <c r="E14" s="10">
        <v>10</v>
      </c>
      <c r="F14" s="11">
        <v>2</v>
      </c>
      <c r="G14" s="11"/>
      <c r="H14" s="11"/>
      <c r="I14" s="11">
        <v>8</v>
      </c>
      <c r="J14" s="10">
        <v>10</v>
      </c>
      <c r="K14" s="12">
        <v>7</v>
      </c>
      <c r="L14" s="12"/>
      <c r="M14" s="27"/>
      <c r="N14" s="27"/>
      <c r="O14" s="10">
        <v>7</v>
      </c>
      <c r="P14" s="28">
        <v>2.5</v>
      </c>
      <c r="Q14" s="13">
        <v>2.5</v>
      </c>
      <c r="R14" s="14">
        <v>3.3524904214559388E-3</v>
      </c>
    </row>
    <row r="15" spans="1:23" ht="15" customHeight="1" x14ac:dyDescent="0.25">
      <c r="A15" s="9" t="s">
        <v>50</v>
      </c>
      <c r="B15" s="10">
        <v>64</v>
      </c>
      <c r="C15" s="10">
        <v>73</v>
      </c>
      <c r="D15" s="10">
        <v>72</v>
      </c>
      <c r="E15" s="10">
        <v>111</v>
      </c>
      <c r="F15" s="11">
        <v>60</v>
      </c>
      <c r="G15" s="11">
        <v>27</v>
      </c>
      <c r="H15" s="11">
        <v>11</v>
      </c>
      <c r="I15" s="11">
        <v>19</v>
      </c>
      <c r="J15" s="10">
        <v>117</v>
      </c>
      <c r="K15" s="12">
        <v>6</v>
      </c>
      <c r="L15" s="12"/>
      <c r="M15" s="27"/>
      <c r="N15" s="27"/>
      <c r="O15" s="10">
        <v>6</v>
      </c>
      <c r="P15" s="28">
        <v>-0.9</v>
      </c>
      <c r="Q15" s="13">
        <v>-0.9</v>
      </c>
      <c r="R15" s="14">
        <v>2.8735632183908046E-3</v>
      </c>
    </row>
    <row r="16" spans="1:23" ht="15" customHeight="1" x14ac:dyDescent="0.25">
      <c r="A16" s="9" t="s">
        <v>51</v>
      </c>
      <c r="B16" s="10">
        <v>92</v>
      </c>
      <c r="C16" s="10">
        <v>74</v>
      </c>
      <c r="D16" s="10">
        <v>163</v>
      </c>
      <c r="E16" s="10">
        <v>246</v>
      </c>
      <c r="F16" s="11">
        <v>56</v>
      </c>
      <c r="G16" s="11">
        <v>42</v>
      </c>
      <c r="H16" s="11">
        <v>9</v>
      </c>
      <c r="I16" s="11">
        <v>31</v>
      </c>
      <c r="J16" s="10">
        <v>138</v>
      </c>
      <c r="K16" s="12">
        <v>21</v>
      </c>
      <c r="L16" s="12"/>
      <c r="M16" s="27"/>
      <c r="N16" s="27"/>
      <c r="O16" s="10">
        <v>21</v>
      </c>
      <c r="P16" s="28">
        <v>-0.625</v>
      </c>
      <c r="Q16" s="13">
        <v>-0.625</v>
      </c>
      <c r="R16" s="14">
        <v>1.0057471264367816E-2</v>
      </c>
    </row>
    <row r="17" spans="1:18" ht="15" customHeight="1" x14ac:dyDescent="0.25">
      <c r="A17" s="9" t="s">
        <v>52</v>
      </c>
      <c r="B17" s="10">
        <v>580</v>
      </c>
      <c r="C17" s="10">
        <v>589</v>
      </c>
      <c r="D17" s="10">
        <v>509</v>
      </c>
      <c r="E17" s="10">
        <v>593</v>
      </c>
      <c r="F17" s="11">
        <v>184</v>
      </c>
      <c r="G17" s="11">
        <v>112</v>
      </c>
      <c r="H17" s="11">
        <v>83</v>
      </c>
      <c r="I17" s="11">
        <v>204</v>
      </c>
      <c r="J17" s="10">
        <v>583</v>
      </c>
      <c r="K17" s="12">
        <v>150</v>
      </c>
      <c r="L17" s="12"/>
      <c r="M17" s="27"/>
      <c r="N17" s="27"/>
      <c r="O17" s="10">
        <v>150</v>
      </c>
      <c r="P17" s="28">
        <v>-0.18478260869565222</v>
      </c>
      <c r="Q17" s="13">
        <v>-0.18478260869565222</v>
      </c>
      <c r="R17" s="14">
        <v>7.183908045977011E-2</v>
      </c>
    </row>
    <row r="18" spans="1:18" ht="15" customHeight="1" x14ac:dyDescent="0.25">
      <c r="A18" s="9" t="s">
        <v>31</v>
      </c>
      <c r="B18" s="10">
        <v>43</v>
      </c>
      <c r="C18" s="10">
        <v>17</v>
      </c>
      <c r="D18" s="10">
        <v>42</v>
      </c>
      <c r="E18" s="10">
        <v>90</v>
      </c>
      <c r="F18" s="11">
        <v>24</v>
      </c>
      <c r="G18" s="11">
        <v>11</v>
      </c>
      <c r="H18" s="11">
        <v>12</v>
      </c>
      <c r="I18" s="11">
        <v>24</v>
      </c>
      <c r="J18" s="10">
        <v>71</v>
      </c>
      <c r="K18" s="12">
        <v>10</v>
      </c>
      <c r="L18" s="12"/>
      <c r="M18" s="27"/>
      <c r="N18" s="27"/>
      <c r="O18" s="10">
        <v>10</v>
      </c>
      <c r="P18" s="28">
        <v>-0.58333333333333326</v>
      </c>
      <c r="Q18" s="13">
        <v>-0.58333333333333326</v>
      </c>
      <c r="R18" s="14">
        <v>4.7892720306513406E-3</v>
      </c>
    </row>
    <row r="19" spans="1:18" ht="15" customHeight="1" x14ac:dyDescent="0.25">
      <c r="A19" s="9" t="s">
        <v>33</v>
      </c>
      <c r="B19" s="10">
        <v>1806</v>
      </c>
      <c r="C19" s="10">
        <v>1877</v>
      </c>
      <c r="D19" s="10">
        <v>1312</v>
      </c>
      <c r="E19" s="10">
        <v>101</v>
      </c>
      <c r="F19" s="11">
        <v>9</v>
      </c>
      <c r="G19" s="11">
        <v>21</v>
      </c>
      <c r="H19" s="11">
        <v>58</v>
      </c>
      <c r="I19" s="11">
        <v>214</v>
      </c>
      <c r="J19" s="10">
        <v>302</v>
      </c>
      <c r="K19" s="12">
        <v>193</v>
      </c>
      <c r="L19" s="12"/>
      <c r="M19" s="27"/>
      <c r="N19" s="27"/>
      <c r="O19" s="10">
        <v>193</v>
      </c>
      <c r="P19" s="28">
        <v>20.444444444444443</v>
      </c>
      <c r="Q19" s="13">
        <v>20.444444444444443</v>
      </c>
      <c r="R19" s="14">
        <v>9.2432950191570884E-2</v>
      </c>
    </row>
    <row r="20" spans="1:18" ht="15" customHeight="1" x14ac:dyDescent="0.25">
      <c r="A20" s="9" t="s">
        <v>56</v>
      </c>
      <c r="B20" s="10">
        <v>61</v>
      </c>
      <c r="C20" s="10">
        <v>45</v>
      </c>
      <c r="D20" s="10">
        <v>48</v>
      </c>
      <c r="E20" s="10">
        <v>13</v>
      </c>
      <c r="F20" s="11"/>
      <c r="G20" s="11">
        <v>1</v>
      </c>
      <c r="H20" s="11"/>
      <c r="I20" s="11">
        <v>3</v>
      </c>
      <c r="J20" s="10">
        <v>4</v>
      </c>
      <c r="K20" s="12">
        <v>5</v>
      </c>
      <c r="L20" s="12"/>
      <c r="M20" s="27"/>
      <c r="N20" s="27"/>
      <c r="O20" s="10">
        <v>5</v>
      </c>
      <c r="P20" s="28" t="s">
        <v>66</v>
      </c>
      <c r="Q20" s="13" t="s">
        <v>66</v>
      </c>
      <c r="R20" s="14">
        <v>2.3946360153256703E-3</v>
      </c>
    </row>
    <row r="21" spans="1:18" ht="15" customHeight="1" x14ac:dyDescent="0.25">
      <c r="A21" s="9" t="s">
        <v>67</v>
      </c>
      <c r="B21" s="10">
        <v>14</v>
      </c>
      <c r="C21" s="10">
        <v>3</v>
      </c>
      <c r="D21" s="10">
        <v>7</v>
      </c>
      <c r="E21" s="10">
        <v>62</v>
      </c>
      <c r="F21" s="11">
        <v>10</v>
      </c>
      <c r="G21" s="11">
        <v>3</v>
      </c>
      <c r="H21" s="11">
        <v>9</v>
      </c>
      <c r="I21" s="11">
        <v>5</v>
      </c>
      <c r="J21" s="10">
        <v>27</v>
      </c>
      <c r="K21" s="12">
        <v>6</v>
      </c>
      <c r="L21" s="12"/>
      <c r="M21" s="27"/>
      <c r="N21" s="27"/>
      <c r="O21" s="10">
        <v>6</v>
      </c>
      <c r="P21" s="28">
        <v>-0.4</v>
      </c>
      <c r="Q21" s="13">
        <v>-0.4</v>
      </c>
      <c r="R21" s="14">
        <v>2.8735632183908046E-3</v>
      </c>
    </row>
    <row r="22" spans="1:18" ht="15" customHeight="1" x14ac:dyDescent="0.25">
      <c r="A22" s="9" t="s">
        <v>57</v>
      </c>
      <c r="B22" s="10">
        <v>98</v>
      </c>
      <c r="C22" s="10">
        <v>92</v>
      </c>
      <c r="D22" s="10">
        <v>102</v>
      </c>
      <c r="E22" s="10">
        <v>69</v>
      </c>
      <c r="F22" s="11">
        <v>19</v>
      </c>
      <c r="G22" s="11">
        <v>6</v>
      </c>
      <c r="H22" s="11">
        <v>14</v>
      </c>
      <c r="I22" s="11">
        <v>58</v>
      </c>
      <c r="J22" s="10">
        <v>97</v>
      </c>
      <c r="K22" s="12">
        <v>15</v>
      </c>
      <c r="L22" s="12"/>
      <c r="M22" s="27"/>
      <c r="N22" s="27"/>
      <c r="O22" s="10">
        <v>15</v>
      </c>
      <c r="P22" s="28">
        <v>-0.21052631578947367</v>
      </c>
      <c r="Q22" s="13">
        <v>-0.21052631578947367</v>
      </c>
      <c r="R22" s="14">
        <v>7.1839080459770114E-3</v>
      </c>
    </row>
    <row r="23" spans="1:18" ht="15" customHeight="1" x14ac:dyDescent="0.25">
      <c r="A23" s="16" t="s">
        <v>34</v>
      </c>
      <c r="B23" s="21">
        <v>6653</v>
      </c>
      <c r="C23" s="21">
        <v>6726</v>
      </c>
      <c r="D23" s="21">
        <v>7082</v>
      </c>
      <c r="E23" s="21">
        <v>6276</v>
      </c>
      <c r="F23" s="22">
        <v>1189</v>
      </c>
      <c r="G23" s="22">
        <v>1163</v>
      </c>
      <c r="H23" s="22">
        <v>1453</v>
      </c>
      <c r="I23" s="22">
        <v>664</v>
      </c>
      <c r="J23" s="21">
        <v>4469</v>
      </c>
      <c r="K23" s="24">
        <v>116</v>
      </c>
      <c r="L23" s="24"/>
      <c r="M23" s="27"/>
      <c r="N23" s="27"/>
      <c r="O23" s="21">
        <v>116</v>
      </c>
      <c r="P23" s="30">
        <v>-0.90243902439024393</v>
      </c>
      <c r="Q23" s="25">
        <v>-0.90243902439024393</v>
      </c>
      <c r="R23" s="26">
        <v>5.5555555555555552E-2</v>
      </c>
    </row>
    <row r="24" spans="1:18" ht="15" customHeight="1" x14ac:dyDescent="0.25">
      <c r="A24" t="s">
        <v>35</v>
      </c>
      <c r="B24" s="17">
        <f>SUBTOTAL(109,Tabell_Kalv[2020])</f>
        <v>13468</v>
      </c>
      <c r="C24" s="17">
        <f>SUBTOTAL(109,Tabell_Kalv[2021])</f>
        <v>11499</v>
      </c>
      <c r="D24" s="17">
        <f>SUBTOTAL(109,Tabell_Kalv[2022])</f>
        <v>11474</v>
      </c>
      <c r="E24" s="17">
        <f>SUBTOTAL(109,Tabell_Kalv[2023])</f>
        <v>10977</v>
      </c>
      <c r="F24" s="17">
        <f>SUBTOTAL(109,Tabell_Kalv[Kvartal 1 2024])</f>
        <v>2824</v>
      </c>
      <c r="G24" s="17">
        <f>SUBTOTAL(109,Tabell_Kalv[Kvartal 2 2024])</f>
        <v>2474</v>
      </c>
      <c r="H24" s="17">
        <f>SUBTOTAL(109,Tabell_Kalv[Kvartal 3 2024])</f>
        <v>2291</v>
      </c>
      <c r="I24" s="17">
        <f>SUBTOTAL(109,Tabell_Kalv[Kvartal 4 2024])</f>
        <v>2354</v>
      </c>
      <c r="J24" s="17">
        <f>SUBTOTAL(109,Tabell_Kalv[2024])</f>
        <v>9943</v>
      </c>
      <c r="K24" s="17">
        <f>SUBTOTAL(109,Tabell_Kalv[Kvartal 1 2025])</f>
        <v>2088</v>
      </c>
      <c r="L24" s="17">
        <f>SUBTOTAL(109,Tabell_Kalv[Kvartal 2 2025])</f>
        <v>0</v>
      </c>
      <c r="M24" s="17">
        <f>SUBTOTAL(109,Tabell_Kalv[Kvartal 3 2025])</f>
        <v>0</v>
      </c>
      <c r="N24" s="17">
        <f>SUBTOTAL(109,Tabell_Kalv[Kvartal 4 2025])</f>
        <v>0</v>
      </c>
      <c r="O24" s="17">
        <f>SUBTOTAL(109,Tabell_Kalv[2025])</f>
        <v>2088</v>
      </c>
      <c r="P24" s="18">
        <f>K24/F24-1</f>
        <v>-0.26062322946175642</v>
      </c>
      <c r="Q24" s="18">
        <f>O24/SUM(F24:F24)-1</f>
        <v>-0.26062322946175642</v>
      </c>
      <c r="R24" s="19">
        <f>SUBTOTAL(109,Tabell_Kalv[Procentuell andel 2025*])</f>
        <v>1.0000000000000002</v>
      </c>
    </row>
    <row r="25" spans="1:18" ht="15" customHeight="1" x14ac:dyDescent="0.25">
      <c r="A25" t="s">
        <v>68</v>
      </c>
    </row>
    <row r="26" spans="1:18" ht="15" customHeight="1" x14ac:dyDescent="0.25">
      <c r="A26" t="s">
        <v>37</v>
      </c>
    </row>
    <row r="27" spans="1:18" ht="15" customHeight="1" x14ac:dyDescent="0.25">
      <c r="A27" t="s">
        <v>69</v>
      </c>
    </row>
    <row r="28" spans="1:18" ht="15" customHeight="1" x14ac:dyDescent="0.25">
      <c r="A28" t="s">
        <v>39</v>
      </c>
    </row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22A9-2443-48B0-8958-500D35FCDF8D}">
  <sheetPr codeName="flFår">
    <pageSetUpPr fitToPage="1"/>
  </sheetPr>
  <dimension ref="A1:R92"/>
  <sheetViews>
    <sheetView workbookViewId="0">
      <selection activeCell="A2" sqref="A2"/>
    </sheetView>
  </sheetViews>
  <sheetFormatPr defaultColWidth="9.140625" defaultRowHeight="12" x14ac:dyDescent="0.2"/>
  <cols>
    <col min="1" max="1" width="27" style="31" customWidth="1"/>
    <col min="2" max="15" width="8.28515625" style="31" customWidth="1"/>
    <col min="16" max="16" width="9.28515625" style="31" customWidth="1"/>
    <col min="17" max="17" width="10.140625" style="31" customWidth="1"/>
    <col min="18" max="18" width="10" style="31" customWidth="1"/>
    <col min="19" max="16384" width="9.140625" style="31"/>
  </cols>
  <sheetData>
    <row r="1" spans="1:18" ht="92.25" customHeight="1" x14ac:dyDescent="0.25">
      <c r="A1" s="1" t="s">
        <v>70</v>
      </c>
      <c r="B1"/>
      <c r="C1" s="1"/>
      <c r="E1"/>
      <c r="F1"/>
      <c r="G1"/>
      <c r="H1"/>
      <c r="I1"/>
      <c r="J1" s="1"/>
      <c r="K1"/>
      <c r="L1"/>
      <c r="M1"/>
      <c r="N1"/>
      <c r="O1"/>
      <c r="P1"/>
      <c r="Q1"/>
      <c r="R1" s="2"/>
    </row>
    <row r="2" spans="1:18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25">
      <c r="A3" s="9" t="s">
        <v>71</v>
      </c>
      <c r="B3" s="10">
        <v>2770</v>
      </c>
      <c r="C3" s="10">
        <v>3087</v>
      </c>
      <c r="D3" s="10">
        <v>2875</v>
      </c>
      <c r="E3" s="10">
        <v>1509</v>
      </c>
      <c r="F3" s="11">
        <v>249</v>
      </c>
      <c r="G3" s="11">
        <v>356</v>
      </c>
      <c r="H3" s="11">
        <v>462</v>
      </c>
      <c r="I3" s="11">
        <v>353</v>
      </c>
      <c r="J3" s="10">
        <v>1420</v>
      </c>
      <c r="K3" s="12">
        <v>207</v>
      </c>
      <c r="L3" s="12"/>
      <c r="M3" s="12"/>
      <c r="N3" s="12"/>
      <c r="O3" s="10">
        <v>207</v>
      </c>
      <c r="P3" s="13">
        <v>-0.16867469879518071</v>
      </c>
      <c r="Q3" s="13">
        <v>-0.16867469879518071</v>
      </c>
      <c r="R3" s="14">
        <v>7.3289902280130291E-3</v>
      </c>
    </row>
    <row r="4" spans="1:18" ht="15" customHeight="1" x14ac:dyDescent="0.25">
      <c r="A4" s="9" t="s">
        <v>62</v>
      </c>
      <c r="B4" s="10">
        <v>2098</v>
      </c>
      <c r="C4" s="10">
        <v>1923</v>
      </c>
      <c r="D4" s="10">
        <v>1715</v>
      </c>
      <c r="E4" s="10">
        <v>1854</v>
      </c>
      <c r="F4" s="11">
        <v>358</v>
      </c>
      <c r="G4" s="11">
        <v>186</v>
      </c>
      <c r="H4" s="11">
        <v>349</v>
      </c>
      <c r="I4" s="11">
        <v>588</v>
      </c>
      <c r="J4" s="10">
        <v>1481</v>
      </c>
      <c r="K4" s="12">
        <v>264</v>
      </c>
      <c r="L4" s="12"/>
      <c r="M4" s="12"/>
      <c r="N4" s="12"/>
      <c r="O4" s="10">
        <v>264</v>
      </c>
      <c r="P4" s="13">
        <v>-0.26256983240223464</v>
      </c>
      <c r="Q4" s="13">
        <v>-0.26256983240223464</v>
      </c>
      <c r="R4" s="14">
        <v>9.3471179719586458E-3</v>
      </c>
    </row>
    <row r="5" spans="1:18" ht="15" customHeight="1" x14ac:dyDescent="0.25">
      <c r="A5" s="9" t="s">
        <v>63</v>
      </c>
      <c r="B5" s="10">
        <v>990</v>
      </c>
      <c r="C5" s="10">
        <v>1234</v>
      </c>
      <c r="D5" s="10">
        <v>1885</v>
      </c>
      <c r="E5" s="10">
        <v>2298</v>
      </c>
      <c r="F5" s="11">
        <v>287</v>
      </c>
      <c r="G5" s="11">
        <v>117</v>
      </c>
      <c r="H5" s="11">
        <v>368</v>
      </c>
      <c r="I5" s="11">
        <v>906</v>
      </c>
      <c r="J5" s="10">
        <v>1678</v>
      </c>
      <c r="K5" s="12">
        <v>153</v>
      </c>
      <c r="L5" s="12"/>
      <c r="M5" s="12"/>
      <c r="N5" s="12"/>
      <c r="O5" s="10">
        <v>153</v>
      </c>
      <c r="P5" s="13">
        <v>-0.4668989547038328</v>
      </c>
      <c r="Q5" s="13">
        <v>-0.4668989547038328</v>
      </c>
      <c r="R5" s="14">
        <v>5.4170797337487605E-3</v>
      </c>
    </row>
    <row r="6" spans="1:18" ht="15" customHeight="1" x14ac:dyDescent="0.25">
      <c r="A6" s="9" t="s">
        <v>44</v>
      </c>
      <c r="B6" s="10">
        <v>2152</v>
      </c>
      <c r="C6" s="10">
        <v>4381</v>
      </c>
      <c r="D6" s="10">
        <v>5280</v>
      </c>
      <c r="E6" s="10">
        <v>5505</v>
      </c>
      <c r="F6" s="11">
        <v>1036</v>
      </c>
      <c r="G6" s="11">
        <v>856</v>
      </c>
      <c r="H6" s="11">
        <v>1412</v>
      </c>
      <c r="I6" s="11">
        <v>1986</v>
      </c>
      <c r="J6" s="10">
        <v>5290</v>
      </c>
      <c r="K6" s="12">
        <v>628</v>
      </c>
      <c r="L6" s="12"/>
      <c r="M6" s="12"/>
      <c r="N6" s="12"/>
      <c r="O6" s="10">
        <v>628</v>
      </c>
      <c r="P6" s="13">
        <v>-0.39382239382239381</v>
      </c>
      <c r="Q6" s="13">
        <v>-0.39382239382239381</v>
      </c>
      <c r="R6" s="14">
        <v>2.2234810933295567E-2</v>
      </c>
    </row>
    <row r="7" spans="1:18" ht="15" customHeight="1" x14ac:dyDescent="0.25">
      <c r="A7" s="9" t="s">
        <v>46</v>
      </c>
      <c r="B7" s="10">
        <v>1125</v>
      </c>
      <c r="C7" s="10">
        <v>1135</v>
      </c>
      <c r="D7" s="10">
        <v>1107</v>
      </c>
      <c r="E7" s="10">
        <v>1035</v>
      </c>
      <c r="F7" s="11">
        <v>170</v>
      </c>
      <c r="G7" s="11">
        <v>225</v>
      </c>
      <c r="H7" s="11">
        <v>199</v>
      </c>
      <c r="I7" s="11">
        <v>266</v>
      </c>
      <c r="J7" s="10">
        <v>860</v>
      </c>
      <c r="K7" s="12">
        <v>203</v>
      </c>
      <c r="L7" s="12"/>
      <c r="M7" s="12"/>
      <c r="N7" s="12"/>
      <c r="O7" s="10">
        <v>203</v>
      </c>
      <c r="P7" s="13">
        <v>0.19411764705882351</v>
      </c>
      <c r="Q7" s="13">
        <v>0.19411764705882351</v>
      </c>
      <c r="R7" s="14">
        <v>7.187367228437898E-3</v>
      </c>
    </row>
    <row r="8" spans="1:18" ht="15" customHeight="1" x14ac:dyDescent="0.25">
      <c r="A8" s="9" t="s">
        <v>23</v>
      </c>
      <c r="B8" s="10">
        <v>2207</v>
      </c>
      <c r="C8" s="10">
        <v>1017</v>
      </c>
      <c r="D8" s="10">
        <v>1546</v>
      </c>
      <c r="E8" s="10">
        <v>2022</v>
      </c>
      <c r="F8" s="11">
        <v>287</v>
      </c>
      <c r="G8" s="11">
        <v>280</v>
      </c>
      <c r="H8" s="11">
        <v>603</v>
      </c>
      <c r="I8" s="11">
        <v>1045</v>
      </c>
      <c r="J8" s="10">
        <v>2215</v>
      </c>
      <c r="K8" s="12">
        <v>290</v>
      </c>
      <c r="L8" s="12"/>
      <c r="M8" s="12"/>
      <c r="N8" s="12"/>
      <c r="O8" s="10">
        <v>290</v>
      </c>
      <c r="P8" s="13">
        <v>1.0452961672473782E-2</v>
      </c>
      <c r="Q8" s="13">
        <v>1.0452961672473782E-2</v>
      </c>
      <c r="R8" s="14">
        <v>1.0267667469196998E-2</v>
      </c>
    </row>
    <row r="9" spans="1:18" ht="15" customHeight="1" x14ac:dyDescent="0.25">
      <c r="A9" s="9" t="s">
        <v>47</v>
      </c>
      <c r="B9" s="10">
        <v>1507</v>
      </c>
      <c r="C9" s="10">
        <v>1716</v>
      </c>
      <c r="D9" s="10">
        <v>1512</v>
      </c>
      <c r="E9" s="10">
        <v>1534</v>
      </c>
      <c r="F9" s="11">
        <v>330</v>
      </c>
      <c r="G9" s="11">
        <v>244</v>
      </c>
      <c r="H9" s="11">
        <v>553</v>
      </c>
      <c r="I9" s="11">
        <v>801</v>
      </c>
      <c r="J9" s="10">
        <v>1928</v>
      </c>
      <c r="K9" s="12">
        <v>261</v>
      </c>
      <c r="L9" s="12"/>
      <c r="M9" s="12"/>
      <c r="N9" s="12"/>
      <c r="O9" s="10">
        <v>261</v>
      </c>
      <c r="P9" s="13">
        <v>-0.20909090909090911</v>
      </c>
      <c r="Q9" s="13">
        <v>-0.20909090909090911</v>
      </c>
      <c r="R9" s="14">
        <v>9.2409007222772985E-3</v>
      </c>
    </row>
    <row r="10" spans="1:18" ht="15" customHeight="1" x14ac:dyDescent="0.25">
      <c r="A10" s="9" t="s">
        <v>25</v>
      </c>
      <c r="B10" s="10">
        <v>20680</v>
      </c>
      <c r="C10" s="10">
        <v>21982</v>
      </c>
      <c r="D10" s="10">
        <v>33808</v>
      </c>
      <c r="E10" s="10">
        <v>27525</v>
      </c>
      <c r="F10" s="11">
        <v>3928</v>
      </c>
      <c r="G10" s="11">
        <v>5289</v>
      </c>
      <c r="H10" s="11">
        <v>6464</v>
      </c>
      <c r="I10" s="11">
        <v>7384</v>
      </c>
      <c r="J10" s="10">
        <v>23065</v>
      </c>
      <c r="K10" s="12">
        <v>3585</v>
      </c>
      <c r="L10" s="12"/>
      <c r="M10" s="12"/>
      <c r="N10" s="12"/>
      <c r="O10" s="10">
        <v>3585</v>
      </c>
      <c r="P10" s="13">
        <v>-8.7321792260692477E-2</v>
      </c>
      <c r="Q10" s="13">
        <v>-8.7321792260692477E-2</v>
      </c>
      <c r="R10" s="14">
        <v>0.12692961336921116</v>
      </c>
    </row>
    <row r="11" spans="1:18" ht="15" customHeight="1" x14ac:dyDescent="0.25">
      <c r="A11" s="9" t="s">
        <v>48</v>
      </c>
      <c r="B11" s="10">
        <v>11043</v>
      </c>
      <c r="C11" s="10">
        <v>11988</v>
      </c>
      <c r="D11" s="10">
        <v>4730</v>
      </c>
      <c r="E11" s="10">
        <v>14928</v>
      </c>
      <c r="F11" s="11">
        <v>2851</v>
      </c>
      <c r="G11" s="11">
        <v>4148</v>
      </c>
      <c r="H11" s="11">
        <v>5025</v>
      </c>
      <c r="I11" s="11">
        <v>4510</v>
      </c>
      <c r="J11" s="10">
        <v>16534</v>
      </c>
      <c r="K11" s="12">
        <v>2785</v>
      </c>
      <c r="L11" s="12"/>
      <c r="M11" s="12"/>
      <c r="N11" s="12"/>
      <c r="O11" s="10">
        <v>2785</v>
      </c>
      <c r="P11" s="13">
        <v>-2.3149772009821157E-2</v>
      </c>
      <c r="Q11" s="13">
        <v>-2.3149772009821157E-2</v>
      </c>
      <c r="R11" s="14">
        <v>9.8605013454184959E-2</v>
      </c>
    </row>
    <row r="12" spans="1:18" ht="15" customHeight="1" x14ac:dyDescent="0.25">
      <c r="A12" s="9" t="s">
        <v>72</v>
      </c>
      <c r="B12" s="10">
        <v>5312</v>
      </c>
      <c r="C12" s="10">
        <v>5662</v>
      </c>
      <c r="D12" s="10">
        <v>6303</v>
      </c>
      <c r="E12" s="10">
        <v>6801</v>
      </c>
      <c r="F12" s="11">
        <v>744</v>
      </c>
      <c r="G12" s="11">
        <v>562</v>
      </c>
      <c r="H12" s="11">
        <v>1326</v>
      </c>
      <c r="I12" s="11">
        <v>3248</v>
      </c>
      <c r="J12" s="10">
        <v>5880</v>
      </c>
      <c r="K12" s="12">
        <v>361</v>
      </c>
      <c r="L12" s="12"/>
      <c r="M12" s="12"/>
      <c r="N12" s="12"/>
      <c r="O12" s="10">
        <v>361</v>
      </c>
      <c r="P12" s="13">
        <v>-0.51478494623655913</v>
      </c>
      <c r="Q12" s="13">
        <v>-0.51478494623655913</v>
      </c>
      <c r="R12" s="14">
        <v>1.2781475711655573E-2</v>
      </c>
    </row>
    <row r="13" spans="1:18" ht="15" customHeight="1" x14ac:dyDescent="0.25">
      <c r="A13" s="9" t="s">
        <v>65</v>
      </c>
      <c r="B13" s="10">
        <v>3842</v>
      </c>
      <c r="C13" s="10">
        <v>3621</v>
      </c>
      <c r="D13" s="10">
        <v>3650</v>
      </c>
      <c r="E13" s="10">
        <v>3339</v>
      </c>
      <c r="F13" s="11">
        <v>205</v>
      </c>
      <c r="G13" s="11">
        <v>280</v>
      </c>
      <c r="H13" s="11">
        <v>794</v>
      </c>
      <c r="I13" s="11">
        <v>1465</v>
      </c>
      <c r="J13" s="10">
        <v>2744</v>
      </c>
      <c r="K13" s="12">
        <v>175</v>
      </c>
      <c r="L13" s="12"/>
      <c r="M13" s="12"/>
      <c r="N13" s="12"/>
      <c r="O13" s="10">
        <v>175</v>
      </c>
      <c r="P13" s="13">
        <v>-0.14634146341463417</v>
      </c>
      <c r="Q13" s="13">
        <v>-0.14634146341463417</v>
      </c>
      <c r="R13" s="14">
        <v>6.1960062314119812E-3</v>
      </c>
    </row>
    <row r="14" spans="1:18" ht="15" customHeight="1" x14ac:dyDescent="0.25">
      <c r="A14" s="9" t="s">
        <v>50</v>
      </c>
      <c r="B14" s="10">
        <v>3126</v>
      </c>
      <c r="C14" s="10">
        <v>3102</v>
      </c>
      <c r="D14" s="10">
        <v>3271</v>
      </c>
      <c r="E14" s="10">
        <v>3032</v>
      </c>
      <c r="F14" s="11">
        <v>223</v>
      </c>
      <c r="G14" s="11">
        <v>401</v>
      </c>
      <c r="H14" s="11">
        <v>1028</v>
      </c>
      <c r="I14" s="11">
        <v>1397</v>
      </c>
      <c r="J14" s="10">
        <v>3049</v>
      </c>
      <c r="K14" s="12">
        <v>297</v>
      </c>
      <c r="L14" s="12"/>
      <c r="M14" s="12"/>
      <c r="N14" s="12"/>
      <c r="O14" s="10">
        <v>297</v>
      </c>
      <c r="P14" s="13">
        <v>0.33183856502242159</v>
      </c>
      <c r="Q14" s="13">
        <v>0.33183856502242159</v>
      </c>
      <c r="R14" s="14">
        <v>1.0515507718453478E-2</v>
      </c>
    </row>
    <row r="15" spans="1:18" ht="15" customHeight="1" x14ac:dyDescent="0.25">
      <c r="A15" s="9" t="s">
        <v>51</v>
      </c>
      <c r="B15" s="10">
        <v>1695</v>
      </c>
      <c r="C15" s="10">
        <v>1319</v>
      </c>
      <c r="D15" s="10">
        <v>1085</v>
      </c>
      <c r="E15" s="10">
        <v>1122</v>
      </c>
      <c r="F15" s="11">
        <v>62</v>
      </c>
      <c r="G15" s="11">
        <v>107</v>
      </c>
      <c r="H15" s="11">
        <v>192</v>
      </c>
      <c r="I15" s="11">
        <v>556</v>
      </c>
      <c r="J15" s="10">
        <v>917</v>
      </c>
      <c r="K15" s="12">
        <v>71</v>
      </c>
      <c r="L15" s="12"/>
      <c r="M15" s="12"/>
      <c r="N15" s="12"/>
      <c r="O15" s="10">
        <v>71</v>
      </c>
      <c r="P15" s="13">
        <v>0.14516129032258074</v>
      </c>
      <c r="Q15" s="13">
        <v>0.14516129032258074</v>
      </c>
      <c r="R15" s="14">
        <v>2.5138082424585751E-3</v>
      </c>
    </row>
    <row r="16" spans="1:18" ht="15" customHeight="1" x14ac:dyDescent="0.25">
      <c r="A16" s="9" t="s">
        <v>29</v>
      </c>
      <c r="B16" s="10">
        <v>30838</v>
      </c>
      <c r="C16" s="10">
        <v>29622</v>
      </c>
      <c r="D16" s="10">
        <v>28380</v>
      </c>
      <c r="E16" s="10">
        <v>30261</v>
      </c>
      <c r="F16" s="11">
        <v>5163</v>
      </c>
      <c r="G16" s="11">
        <v>6253</v>
      </c>
      <c r="H16" s="11">
        <v>7351</v>
      </c>
      <c r="I16" s="11">
        <v>8277</v>
      </c>
      <c r="J16" s="10">
        <v>27044</v>
      </c>
      <c r="K16" s="12">
        <v>5227</v>
      </c>
      <c r="L16" s="12"/>
      <c r="M16" s="12"/>
      <c r="N16" s="12"/>
      <c r="O16" s="10">
        <v>5227</v>
      </c>
      <c r="P16" s="13">
        <v>1.2395893860158713E-2</v>
      </c>
      <c r="Q16" s="13">
        <v>1.2395893860158713E-2</v>
      </c>
      <c r="R16" s="14">
        <v>0.18506585469480244</v>
      </c>
    </row>
    <row r="17" spans="1:18" ht="15" customHeight="1" x14ac:dyDescent="0.25">
      <c r="A17" s="9" t="s">
        <v>30</v>
      </c>
      <c r="B17" s="10">
        <v>3049</v>
      </c>
      <c r="C17" s="10">
        <v>3443</v>
      </c>
      <c r="D17" s="10">
        <v>3344</v>
      </c>
      <c r="E17" s="10">
        <v>3441</v>
      </c>
      <c r="F17" s="11">
        <v>721</v>
      </c>
      <c r="G17" s="11">
        <v>321</v>
      </c>
      <c r="H17" s="11">
        <v>717</v>
      </c>
      <c r="I17" s="11">
        <v>690</v>
      </c>
      <c r="J17" s="10">
        <v>2449</v>
      </c>
      <c r="K17" s="12">
        <v>778</v>
      </c>
      <c r="L17" s="12"/>
      <c r="M17" s="12"/>
      <c r="N17" s="12"/>
      <c r="O17" s="10">
        <v>778</v>
      </c>
      <c r="P17" s="13">
        <v>7.905686546463242E-2</v>
      </c>
      <c r="Q17" s="13">
        <v>7.905686546463242E-2</v>
      </c>
      <c r="R17" s="14">
        <v>2.7545673417362981E-2</v>
      </c>
    </row>
    <row r="18" spans="1:18" ht="15" customHeight="1" x14ac:dyDescent="0.25">
      <c r="A18" s="9" t="s">
        <v>31</v>
      </c>
      <c r="B18" s="10">
        <v>2274</v>
      </c>
      <c r="C18" s="10">
        <v>2344</v>
      </c>
      <c r="D18" s="10">
        <v>2966</v>
      </c>
      <c r="E18" s="10">
        <v>3710</v>
      </c>
      <c r="F18" s="11">
        <v>388</v>
      </c>
      <c r="G18" s="11">
        <v>290</v>
      </c>
      <c r="H18" s="11">
        <v>936</v>
      </c>
      <c r="I18" s="11">
        <v>1748</v>
      </c>
      <c r="J18" s="10">
        <v>3362</v>
      </c>
      <c r="K18" s="12">
        <v>363</v>
      </c>
      <c r="L18" s="12"/>
      <c r="M18" s="12"/>
      <c r="N18" s="12"/>
      <c r="O18" s="10">
        <v>363</v>
      </c>
      <c r="P18" s="13">
        <v>-6.4432989690721643E-2</v>
      </c>
      <c r="Q18" s="13">
        <v>-6.4432989690721643E-2</v>
      </c>
      <c r="R18" s="14">
        <v>1.2852287211443138E-2</v>
      </c>
    </row>
    <row r="19" spans="1:18" ht="15" customHeight="1" x14ac:dyDescent="0.25">
      <c r="A19" s="9" t="s">
        <v>54</v>
      </c>
      <c r="B19" s="10">
        <v>95301</v>
      </c>
      <c r="C19" s="10">
        <v>87156</v>
      </c>
      <c r="D19" s="10">
        <v>84407</v>
      </c>
      <c r="E19" s="10">
        <v>82992</v>
      </c>
      <c r="F19" s="11">
        <v>12814</v>
      </c>
      <c r="G19" s="11">
        <v>16049</v>
      </c>
      <c r="H19" s="11">
        <v>20936</v>
      </c>
      <c r="I19" s="11">
        <v>22055</v>
      </c>
      <c r="J19" s="10">
        <v>71854</v>
      </c>
      <c r="K19" s="12">
        <v>9198</v>
      </c>
      <c r="L19" s="12"/>
      <c r="M19" s="12"/>
      <c r="N19" s="12"/>
      <c r="O19" s="10">
        <v>9198</v>
      </c>
      <c r="P19" s="13">
        <v>-0.28219135320742939</v>
      </c>
      <c r="Q19" s="13">
        <v>-0.28219135320742939</v>
      </c>
      <c r="R19" s="14">
        <v>0.32566208752301373</v>
      </c>
    </row>
    <row r="20" spans="1:18" ht="15" customHeight="1" x14ac:dyDescent="0.25">
      <c r="A20" s="9" t="s">
        <v>73</v>
      </c>
      <c r="B20" s="10">
        <v>10399</v>
      </c>
      <c r="C20" s="10">
        <v>9746</v>
      </c>
      <c r="D20" s="10">
        <v>8704</v>
      </c>
      <c r="E20" s="10">
        <v>8263</v>
      </c>
      <c r="F20" s="11">
        <v>1363</v>
      </c>
      <c r="G20" s="11">
        <v>851</v>
      </c>
      <c r="H20" s="11">
        <v>1984</v>
      </c>
      <c r="I20" s="11">
        <v>2629</v>
      </c>
      <c r="J20" s="10">
        <v>6827</v>
      </c>
      <c r="K20" s="12">
        <v>1081</v>
      </c>
      <c r="L20" s="12"/>
      <c r="M20" s="12"/>
      <c r="N20" s="12"/>
      <c r="O20" s="10">
        <v>1081</v>
      </c>
      <c r="P20" s="13">
        <v>-0.2068965517241379</v>
      </c>
      <c r="Q20" s="13">
        <v>-0.2068965517241379</v>
      </c>
      <c r="R20" s="14">
        <v>3.8273615635179156E-2</v>
      </c>
    </row>
    <row r="21" spans="1:18" ht="15" customHeight="1" x14ac:dyDescent="0.25">
      <c r="A21" s="9" t="s">
        <v>55</v>
      </c>
      <c r="B21" s="10">
        <v>949</v>
      </c>
      <c r="C21" s="10">
        <v>1133</v>
      </c>
      <c r="D21" s="10">
        <v>1019</v>
      </c>
      <c r="E21" s="10">
        <v>1117</v>
      </c>
      <c r="F21" s="11">
        <v>222</v>
      </c>
      <c r="G21" s="11">
        <v>131</v>
      </c>
      <c r="H21" s="11">
        <v>199</v>
      </c>
      <c r="I21" s="11">
        <v>364</v>
      </c>
      <c r="J21" s="10">
        <v>916</v>
      </c>
      <c r="K21" s="12">
        <v>247</v>
      </c>
      <c r="L21" s="12"/>
      <c r="M21" s="12"/>
      <c r="N21" s="12"/>
      <c r="O21" s="10">
        <v>247</v>
      </c>
      <c r="P21" s="13">
        <v>0.11261261261261257</v>
      </c>
      <c r="Q21" s="13">
        <v>0.11261261261261257</v>
      </c>
      <c r="R21" s="14">
        <v>8.7452202237643401E-3</v>
      </c>
    </row>
    <row r="22" spans="1:18" ht="15" customHeight="1" x14ac:dyDescent="0.25">
      <c r="A22" s="9" t="s">
        <v>56</v>
      </c>
      <c r="B22" s="10">
        <v>2068</v>
      </c>
      <c r="C22" s="10">
        <v>2178</v>
      </c>
      <c r="D22" s="10">
        <v>2468</v>
      </c>
      <c r="E22" s="10">
        <v>287</v>
      </c>
      <c r="F22" s="11">
        <v>95</v>
      </c>
      <c r="G22" s="11">
        <v>144</v>
      </c>
      <c r="H22" s="11">
        <v>202</v>
      </c>
      <c r="I22" s="11">
        <v>543</v>
      </c>
      <c r="J22" s="10">
        <v>984</v>
      </c>
      <c r="K22" s="12">
        <v>160</v>
      </c>
      <c r="L22" s="12"/>
      <c r="M22" s="12"/>
      <c r="N22" s="12"/>
      <c r="O22" s="10">
        <v>160</v>
      </c>
      <c r="P22" s="13">
        <v>0.68421052631578938</v>
      </c>
      <c r="Q22" s="13">
        <v>0.68421052631578938</v>
      </c>
      <c r="R22" s="14">
        <v>5.6649199830052397E-3</v>
      </c>
    </row>
    <row r="23" spans="1:18" ht="15" customHeight="1" x14ac:dyDescent="0.25">
      <c r="A23" s="9" t="s">
        <v>74</v>
      </c>
      <c r="B23" s="10">
        <v>1147</v>
      </c>
      <c r="C23" s="10">
        <v>1197</v>
      </c>
      <c r="D23" s="10">
        <v>1186</v>
      </c>
      <c r="E23" s="10">
        <v>1000</v>
      </c>
      <c r="F23" s="11">
        <v>160</v>
      </c>
      <c r="G23" s="11">
        <v>76</v>
      </c>
      <c r="H23" s="11">
        <v>272</v>
      </c>
      <c r="I23" s="11">
        <v>621</v>
      </c>
      <c r="J23" s="10">
        <v>1129</v>
      </c>
      <c r="K23" s="12">
        <v>69</v>
      </c>
      <c r="L23" s="12"/>
      <c r="M23" s="12"/>
      <c r="N23" s="12"/>
      <c r="O23" s="10">
        <v>69</v>
      </c>
      <c r="P23" s="13">
        <v>-0.56874999999999998</v>
      </c>
      <c r="Q23" s="13">
        <v>-0.56874999999999998</v>
      </c>
      <c r="R23" s="14">
        <v>2.4429967426710096E-3</v>
      </c>
    </row>
    <row r="24" spans="1:18" ht="15" customHeight="1" x14ac:dyDescent="0.25">
      <c r="A24" s="9" t="s">
        <v>57</v>
      </c>
      <c r="B24" s="10">
        <v>1531</v>
      </c>
      <c r="C24" s="10">
        <v>1396</v>
      </c>
      <c r="D24" s="10">
        <v>1047</v>
      </c>
      <c r="E24" s="10">
        <v>1040</v>
      </c>
      <c r="F24" s="11">
        <v>121</v>
      </c>
      <c r="G24" s="11">
        <v>73</v>
      </c>
      <c r="H24" s="11">
        <v>239</v>
      </c>
      <c r="I24" s="11">
        <v>494</v>
      </c>
      <c r="J24" s="10">
        <v>927</v>
      </c>
      <c r="K24" s="12">
        <v>101</v>
      </c>
      <c r="L24" s="12"/>
      <c r="M24" s="12"/>
      <c r="N24" s="12"/>
      <c r="O24" s="10">
        <v>101</v>
      </c>
      <c r="P24" s="13">
        <v>-0.16528925619834711</v>
      </c>
      <c r="Q24" s="13">
        <v>-0.16528925619834711</v>
      </c>
      <c r="R24" s="14">
        <v>3.5759807392720579E-3</v>
      </c>
    </row>
    <row r="25" spans="1:18" ht="15" customHeight="1" x14ac:dyDescent="0.25">
      <c r="A25" s="9" t="s">
        <v>75</v>
      </c>
      <c r="B25" s="10">
        <v>1286</v>
      </c>
      <c r="C25" s="10">
        <v>1410</v>
      </c>
      <c r="D25" s="10">
        <v>1457</v>
      </c>
      <c r="E25" s="10">
        <v>1637</v>
      </c>
      <c r="F25" s="11">
        <v>157</v>
      </c>
      <c r="G25" s="11">
        <v>106</v>
      </c>
      <c r="H25" s="11">
        <v>391</v>
      </c>
      <c r="I25" s="11">
        <v>670</v>
      </c>
      <c r="J25" s="10">
        <v>1324</v>
      </c>
      <c r="K25" s="12">
        <v>110</v>
      </c>
      <c r="L25" s="12"/>
      <c r="M25" s="12"/>
      <c r="N25" s="12"/>
      <c r="O25" s="10">
        <v>110</v>
      </c>
      <c r="P25" s="13">
        <v>-0.29936305732484081</v>
      </c>
      <c r="Q25" s="13">
        <v>-0.29936305732484081</v>
      </c>
      <c r="R25" s="14">
        <v>3.8946324883161027E-3</v>
      </c>
    </row>
    <row r="26" spans="1:18" ht="15" customHeight="1" x14ac:dyDescent="0.25">
      <c r="A26" s="9" t="s">
        <v>76</v>
      </c>
      <c r="B26" s="10">
        <v>1186</v>
      </c>
      <c r="C26" s="10">
        <v>1062</v>
      </c>
      <c r="D26" s="10">
        <v>952</v>
      </c>
      <c r="E26" s="10">
        <v>903</v>
      </c>
      <c r="F26" s="11">
        <v>99</v>
      </c>
      <c r="G26" s="11">
        <v>104</v>
      </c>
      <c r="H26" s="11">
        <v>162</v>
      </c>
      <c r="I26" s="11">
        <v>387</v>
      </c>
      <c r="J26" s="10">
        <v>752</v>
      </c>
      <c r="K26" s="12">
        <v>135</v>
      </c>
      <c r="L26" s="12"/>
      <c r="M26" s="12"/>
      <c r="N26" s="12"/>
      <c r="O26" s="10">
        <v>135</v>
      </c>
      <c r="P26" s="13">
        <v>0.36363636363636354</v>
      </c>
      <c r="Q26" s="13">
        <v>0.36363636363636354</v>
      </c>
      <c r="R26" s="14">
        <v>4.779776235660671E-3</v>
      </c>
    </row>
    <row r="27" spans="1:18" ht="15" customHeight="1" x14ac:dyDescent="0.25">
      <c r="A27" s="9" t="s">
        <v>77</v>
      </c>
      <c r="B27" s="10">
        <v>4342</v>
      </c>
      <c r="C27" s="10">
        <v>4327</v>
      </c>
      <c r="D27" s="10">
        <v>3950</v>
      </c>
      <c r="E27" s="10">
        <v>3969</v>
      </c>
      <c r="F27" s="11">
        <v>406</v>
      </c>
      <c r="G27" s="11">
        <v>319</v>
      </c>
      <c r="H27" s="11">
        <v>977</v>
      </c>
      <c r="I27" s="11">
        <v>1835</v>
      </c>
      <c r="J27" s="10">
        <v>3537</v>
      </c>
      <c r="K27" s="12">
        <v>360</v>
      </c>
      <c r="L27" s="12"/>
      <c r="M27" s="12"/>
      <c r="N27" s="12"/>
      <c r="O27" s="10">
        <v>360</v>
      </c>
      <c r="P27" s="13">
        <v>-0.11330049261083741</v>
      </c>
      <c r="Q27" s="13">
        <v>-0.11330049261083741</v>
      </c>
      <c r="R27" s="14">
        <v>1.274606996176179E-2</v>
      </c>
    </row>
    <row r="28" spans="1:18" ht="15" customHeight="1" x14ac:dyDescent="0.25">
      <c r="A28" s="9" t="s">
        <v>34</v>
      </c>
      <c r="B28" s="10">
        <v>27600</v>
      </c>
      <c r="C28" s="10">
        <v>22939</v>
      </c>
      <c r="D28" s="10">
        <v>20175</v>
      </c>
      <c r="E28" s="10">
        <v>18008</v>
      </c>
      <c r="F28" s="11">
        <v>1641</v>
      </c>
      <c r="G28" s="11">
        <v>1021</v>
      </c>
      <c r="H28" s="11">
        <v>3222</v>
      </c>
      <c r="I28" s="11">
        <v>7436</v>
      </c>
      <c r="J28" s="10">
        <v>13320</v>
      </c>
      <c r="K28" s="12">
        <v>1135</v>
      </c>
      <c r="L28" s="12"/>
      <c r="M28" s="12"/>
      <c r="N28" s="12"/>
      <c r="O28" s="10">
        <v>1135</v>
      </c>
      <c r="P28" s="13">
        <v>-0.30834856794637411</v>
      </c>
      <c r="Q28" s="13">
        <v>-0.30834856794637411</v>
      </c>
      <c r="R28" s="14">
        <v>4.018552612944342E-2</v>
      </c>
    </row>
    <row r="29" spans="1:18" ht="15" customHeight="1" x14ac:dyDescent="0.25">
      <c r="A29" t="s">
        <v>35</v>
      </c>
      <c r="B29" s="17">
        <f>SUBTOTAL(109,Tabell_Får[2020])</f>
        <v>240517</v>
      </c>
      <c r="C29" s="17">
        <f>SUBTOTAL(109,Tabell_Får[2021])</f>
        <v>230120</v>
      </c>
      <c r="D29" s="17">
        <f>SUBTOTAL(109,Tabell_Får[2022])</f>
        <v>228822</v>
      </c>
      <c r="E29" s="17">
        <f>SUBTOTAL(109,Tabell_Får[2023])</f>
        <v>229132</v>
      </c>
      <c r="F29" s="17">
        <f>SUBTOTAL(109,Tabell_Får[Kvartal 1 2024])</f>
        <v>34080</v>
      </c>
      <c r="G29" s="17">
        <f>SUBTOTAL(109,Tabell_Får[Kvartal 2 2024])</f>
        <v>38789</v>
      </c>
      <c r="H29" s="17">
        <f>SUBTOTAL(109,Tabell_Får[Kvartal 3 2024])</f>
        <v>56363</v>
      </c>
      <c r="I29" s="17">
        <f>SUBTOTAL(109,Tabell_Får[Kvartal 4 2024])</f>
        <v>72254</v>
      </c>
      <c r="J29" s="17">
        <f>SUBTOTAL(109,Tabell_Får[2024])</f>
        <v>201486</v>
      </c>
      <c r="K29" s="17">
        <f>SUBTOTAL(109,Tabell_Får[Kvartal 1 2025])</f>
        <v>28244</v>
      </c>
      <c r="L29" s="17">
        <f>SUBTOTAL(109,Tabell_Får[Kvartal 2 2025])</f>
        <v>0</v>
      </c>
      <c r="M29" s="17">
        <f>SUBTOTAL(109,Tabell_Får[Kvartal 3 2025])</f>
        <v>0</v>
      </c>
      <c r="N29" s="17">
        <f>SUBTOTAL(109,Tabell_Får[Kvartal 4 2025])</f>
        <v>0</v>
      </c>
      <c r="O29" s="17">
        <f>SUBTOTAL(109,Tabell_Får[2025])</f>
        <v>28244</v>
      </c>
      <c r="P29" s="18">
        <f>K29/F29-1</f>
        <v>-0.17124413145539907</v>
      </c>
      <c r="Q29" s="18">
        <f>O29/SUM(F29:F29)-1</f>
        <v>-0.17124413145539907</v>
      </c>
      <c r="R29" s="19">
        <f>SUBTOTAL(109,Tabell_Får[Procentuell andel 2025*])</f>
        <v>1</v>
      </c>
    </row>
    <row r="30" spans="1:18" ht="15" customHeight="1" x14ac:dyDescent="0.2">
      <c r="A30" s="31" t="s">
        <v>78</v>
      </c>
    </row>
    <row r="31" spans="1:18" ht="15" customHeight="1" x14ac:dyDescent="0.2">
      <c r="A31" s="31" t="s">
        <v>37</v>
      </c>
    </row>
    <row r="32" spans="1:18" ht="15" customHeight="1" x14ac:dyDescent="0.2">
      <c r="A32" s="31" t="s">
        <v>79</v>
      </c>
    </row>
    <row r="33" spans="1:1" ht="15" customHeight="1" x14ac:dyDescent="0.2">
      <c r="A33" s="31" t="s">
        <v>39</v>
      </c>
    </row>
    <row r="34" spans="1:1" ht="15" customHeight="1" x14ac:dyDescent="0.2"/>
    <row r="35" spans="1:1" ht="15" customHeight="1" x14ac:dyDescent="0.2"/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  <row r="45" spans="1:1" ht="15" customHeight="1" x14ac:dyDescent="0.2"/>
    <row r="46" spans="1:1" ht="15" customHeight="1" x14ac:dyDescent="0.2"/>
    <row r="47" spans="1:1" ht="15" customHeight="1" x14ac:dyDescent="0.2"/>
    <row r="48" spans="1: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dataConsolidate/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ED3E-0603-45B7-957E-2FCD5BC83B53}">
  <sheetPr codeName="flHäst">
    <pageSetUpPr fitToPage="1"/>
  </sheetPr>
  <dimension ref="A1:R92"/>
  <sheetViews>
    <sheetView workbookViewId="0">
      <selection activeCell="A2" sqref="A2"/>
    </sheetView>
  </sheetViews>
  <sheetFormatPr defaultColWidth="9.140625" defaultRowHeight="12" x14ac:dyDescent="0.2"/>
  <cols>
    <col min="1" max="1" width="27" style="31" customWidth="1"/>
    <col min="2" max="15" width="8.28515625" style="31" customWidth="1"/>
    <col min="16" max="16" width="9.28515625" style="31" customWidth="1"/>
    <col min="17" max="17" width="10.140625" style="31" customWidth="1"/>
    <col min="18" max="18" width="10" style="31" customWidth="1"/>
    <col min="19" max="16384" width="9.140625" style="31"/>
  </cols>
  <sheetData>
    <row r="1" spans="1:18" ht="92.25" customHeight="1" x14ac:dyDescent="0.25">
      <c r="A1" s="1" t="s">
        <v>80</v>
      </c>
      <c r="B1"/>
      <c r="C1" s="1"/>
      <c r="E1"/>
      <c r="F1"/>
      <c r="G1"/>
      <c r="H1"/>
      <c r="I1"/>
      <c r="J1" s="1"/>
      <c r="K1"/>
      <c r="L1"/>
      <c r="M1"/>
      <c r="N1"/>
      <c r="O1"/>
      <c r="P1"/>
      <c r="Q1"/>
      <c r="R1" s="2"/>
    </row>
    <row r="2" spans="1:18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25">
      <c r="A3" s="9" t="s">
        <v>63</v>
      </c>
      <c r="B3" s="10">
        <v>128</v>
      </c>
      <c r="C3" s="10">
        <v>147</v>
      </c>
      <c r="D3" s="10">
        <v>181</v>
      </c>
      <c r="E3" s="10">
        <v>230</v>
      </c>
      <c r="F3" s="11">
        <v>47</v>
      </c>
      <c r="G3" s="11">
        <v>46</v>
      </c>
      <c r="H3" s="11">
        <v>69</v>
      </c>
      <c r="I3" s="11">
        <v>89</v>
      </c>
      <c r="J3" s="10">
        <v>251</v>
      </c>
      <c r="K3" s="12">
        <v>60</v>
      </c>
      <c r="L3" s="12"/>
      <c r="M3" s="12"/>
      <c r="N3" s="12"/>
      <c r="O3" s="10">
        <v>60</v>
      </c>
      <c r="P3" s="13">
        <v>0.27659574468085113</v>
      </c>
      <c r="Q3" s="13">
        <v>0.27659574468085113</v>
      </c>
      <c r="R3" s="14">
        <v>0.28169014084507044</v>
      </c>
    </row>
    <row r="4" spans="1:18" ht="15" customHeight="1" x14ac:dyDescent="0.25">
      <c r="A4" s="9" t="s">
        <v>46</v>
      </c>
      <c r="B4" s="10">
        <v>116</v>
      </c>
      <c r="C4" s="10">
        <v>105</v>
      </c>
      <c r="D4" s="10">
        <v>112</v>
      </c>
      <c r="E4" s="10">
        <v>112</v>
      </c>
      <c r="F4" s="11">
        <v>19</v>
      </c>
      <c r="G4" s="11">
        <v>29</v>
      </c>
      <c r="H4" s="11">
        <v>33</v>
      </c>
      <c r="I4" s="11">
        <v>39</v>
      </c>
      <c r="J4" s="10">
        <v>120</v>
      </c>
      <c r="K4" s="12">
        <v>38</v>
      </c>
      <c r="L4" s="12"/>
      <c r="M4" s="12"/>
      <c r="N4" s="12"/>
      <c r="O4" s="10">
        <v>38</v>
      </c>
      <c r="P4" s="13">
        <v>1</v>
      </c>
      <c r="Q4" s="13">
        <v>1</v>
      </c>
      <c r="R4" s="14">
        <v>0.17840375586854459</v>
      </c>
    </row>
    <row r="5" spans="1:18" ht="15" customHeight="1" x14ac:dyDescent="0.25">
      <c r="A5" s="9" t="s">
        <v>50</v>
      </c>
      <c r="B5" s="10">
        <v>37</v>
      </c>
      <c r="C5" s="10">
        <v>50</v>
      </c>
      <c r="D5" s="10">
        <v>37</v>
      </c>
      <c r="E5" s="10">
        <v>32</v>
      </c>
      <c r="F5" s="11">
        <v>10</v>
      </c>
      <c r="G5" s="11">
        <v>7</v>
      </c>
      <c r="H5" s="11">
        <v>5</v>
      </c>
      <c r="I5" s="11">
        <v>7</v>
      </c>
      <c r="J5" s="10">
        <v>29</v>
      </c>
      <c r="K5" s="12">
        <v>2</v>
      </c>
      <c r="L5" s="12"/>
      <c r="M5" s="12"/>
      <c r="N5" s="12"/>
      <c r="O5" s="10">
        <v>2</v>
      </c>
      <c r="P5" s="13">
        <v>-0.8</v>
      </c>
      <c r="Q5" s="13">
        <v>-0.8</v>
      </c>
      <c r="R5" s="14">
        <v>9.3896713615023476E-3</v>
      </c>
    </row>
    <row r="6" spans="1:18" ht="15" customHeight="1" x14ac:dyDescent="0.25">
      <c r="A6" s="9" t="s">
        <v>51</v>
      </c>
      <c r="B6" s="10">
        <v>78</v>
      </c>
      <c r="C6" s="10">
        <v>60</v>
      </c>
      <c r="D6" s="10">
        <v>73</v>
      </c>
      <c r="E6" s="10">
        <v>78</v>
      </c>
      <c r="F6" s="11">
        <v>21</v>
      </c>
      <c r="G6" s="11">
        <v>34</v>
      </c>
      <c r="H6" s="11">
        <v>12</v>
      </c>
      <c r="I6" s="11">
        <v>15</v>
      </c>
      <c r="J6" s="10">
        <v>82</v>
      </c>
      <c r="K6" s="12">
        <v>11</v>
      </c>
      <c r="L6" s="12"/>
      <c r="M6" s="12"/>
      <c r="N6" s="12"/>
      <c r="O6" s="10">
        <v>11</v>
      </c>
      <c r="P6" s="13">
        <v>-0.47619047619047616</v>
      </c>
      <c r="Q6" s="13">
        <v>-0.47619047619047616</v>
      </c>
      <c r="R6" s="14">
        <v>5.1643192488262914E-2</v>
      </c>
    </row>
    <row r="7" spans="1:18" ht="15" customHeight="1" x14ac:dyDescent="0.25">
      <c r="A7" s="9" t="s">
        <v>52</v>
      </c>
      <c r="B7" s="10">
        <v>263</v>
      </c>
      <c r="C7" s="10">
        <v>191</v>
      </c>
      <c r="D7" s="10">
        <v>229</v>
      </c>
      <c r="E7" s="10">
        <v>298</v>
      </c>
      <c r="F7" s="11">
        <v>86</v>
      </c>
      <c r="G7" s="11">
        <v>61</v>
      </c>
      <c r="H7" s="11">
        <v>49</v>
      </c>
      <c r="I7" s="11">
        <v>128</v>
      </c>
      <c r="J7" s="10">
        <v>324</v>
      </c>
      <c r="K7" s="12">
        <v>55</v>
      </c>
      <c r="L7" s="12"/>
      <c r="M7" s="12"/>
      <c r="N7" s="12"/>
      <c r="O7" s="10">
        <v>55</v>
      </c>
      <c r="P7" s="13">
        <v>-0.36046511627906974</v>
      </c>
      <c r="Q7" s="13">
        <v>-0.36046511627906974</v>
      </c>
      <c r="R7" s="14">
        <v>0.25821596244131456</v>
      </c>
    </row>
    <row r="8" spans="1:18" ht="15" customHeight="1" x14ac:dyDescent="0.25">
      <c r="A8" s="9" t="s">
        <v>30</v>
      </c>
      <c r="B8" s="10">
        <v>21</v>
      </c>
      <c r="C8" s="10">
        <v>18</v>
      </c>
      <c r="D8" s="10">
        <v>15</v>
      </c>
      <c r="E8" s="10">
        <v>33</v>
      </c>
      <c r="F8" s="11">
        <v>11</v>
      </c>
      <c r="G8" s="11">
        <v>9</v>
      </c>
      <c r="H8" s="11">
        <v>8</v>
      </c>
      <c r="I8" s="11">
        <v>9</v>
      </c>
      <c r="J8" s="10">
        <v>37</v>
      </c>
      <c r="K8" s="12">
        <v>14</v>
      </c>
      <c r="L8" s="12"/>
      <c r="M8" s="12"/>
      <c r="N8" s="12"/>
      <c r="O8" s="10">
        <v>14</v>
      </c>
      <c r="P8" s="13">
        <v>0.27272727272727271</v>
      </c>
      <c r="Q8" s="13">
        <v>0.27272727272727271</v>
      </c>
      <c r="R8" s="14">
        <v>6.5727699530516437E-2</v>
      </c>
    </row>
    <row r="9" spans="1:18" ht="15" customHeight="1" x14ac:dyDescent="0.25">
      <c r="A9" s="9" t="s">
        <v>55</v>
      </c>
      <c r="B9" s="10">
        <v>56</v>
      </c>
      <c r="C9" s="10">
        <v>30</v>
      </c>
      <c r="D9" s="10">
        <v>72</v>
      </c>
      <c r="E9" s="10">
        <v>108</v>
      </c>
      <c r="F9" s="11">
        <v>28</v>
      </c>
      <c r="G9" s="11">
        <v>25</v>
      </c>
      <c r="H9" s="11">
        <v>20</v>
      </c>
      <c r="I9" s="11">
        <v>30</v>
      </c>
      <c r="J9" s="10">
        <v>103</v>
      </c>
      <c r="K9" s="12">
        <v>17</v>
      </c>
      <c r="L9" s="12"/>
      <c r="M9" s="12"/>
      <c r="N9" s="12"/>
      <c r="O9" s="10">
        <v>17</v>
      </c>
      <c r="P9" s="13">
        <v>-0.3928571428571429</v>
      </c>
      <c r="Q9" s="13">
        <v>-0.3928571428571429</v>
      </c>
      <c r="R9" s="14">
        <v>7.9812206572769953E-2</v>
      </c>
    </row>
    <row r="10" spans="1:18" ht="15" customHeight="1" x14ac:dyDescent="0.25">
      <c r="A10" s="9" t="s">
        <v>75</v>
      </c>
      <c r="B10" s="10">
        <v>19</v>
      </c>
      <c r="C10" s="10">
        <v>23</v>
      </c>
      <c r="D10" s="10">
        <v>24</v>
      </c>
      <c r="E10" s="10">
        <v>27</v>
      </c>
      <c r="F10" s="11">
        <v>11</v>
      </c>
      <c r="G10" s="11">
        <v>9</v>
      </c>
      <c r="H10" s="11">
        <v>2</v>
      </c>
      <c r="I10" s="11">
        <v>4</v>
      </c>
      <c r="J10" s="10">
        <v>26</v>
      </c>
      <c r="K10" s="12">
        <v>8</v>
      </c>
      <c r="L10" s="12"/>
      <c r="M10" s="12"/>
      <c r="N10" s="12"/>
      <c r="O10" s="10">
        <v>8</v>
      </c>
      <c r="P10" s="13">
        <v>-0.27272727272727271</v>
      </c>
      <c r="Q10" s="13">
        <v>-0.27272727272727271</v>
      </c>
      <c r="R10" s="14">
        <v>3.7558685446009391E-2</v>
      </c>
    </row>
    <row r="11" spans="1:18" ht="15" customHeight="1" x14ac:dyDescent="0.25">
      <c r="A11" s="9" t="s">
        <v>34</v>
      </c>
      <c r="B11" s="10">
        <v>695</v>
      </c>
      <c r="C11" s="10">
        <v>412</v>
      </c>
      <c r="D11" s="10">
        <v>300</v>
      </c>
      <c r="E11" s="10">
        <v>112</v>
      </c>
      <c r="F11" s="11">
        <v>75</v>
      </c>
      <c r="G11" s="11">
        <v>28</v>
      </c>
      <c r="H11" s="11">
        <v>45</v>
      </c>
      <c r="I11" s="11">
        <v>82</v>
      </c>
      <c r="J11" s="10">
        <v>230</v>
      </c>
      <c r="K11" s="12">
        <v>8</v>
      </c>
      <c r="L11" s="12"/>
      <c r="M11" s="12"/>
      <c r="N11" s="12"/>
      <c r="O11" s="10">
        <v>8</v>
      </c>
      <c r="P11" s="13">
        <v>-0.89333333333333331</v>
      </c>
      <c r="Q11" s="13">
        <v>-0.89333333333333331</v>
      </c>
      <c r="R11" s="14">
        <v>3.7558685446009391E-2</v>
      </c>
    </row>
    <row r="12" spans="1:18" ht="15" customHeight="1" x14ac:dyDescent="0.25">
      <c r="A12" t="s">
        <v>35</v>
      </c>
      <c r="B12" s="17">
        <f>SUBTOTAL(109,Tabell_Häst[2020])</f>
        <v>1413</v>
      </c>
      <c r="C12" s="17">
        <f>SUBTOTAL(109,Tabell_Häst[2021])</f>
        <v>1036</v>
      </c>
      <c r="D12" s="17">
        <f>SUBTOTAL(109,Tabell_Häst[2022])</f>
        <v>1043</v>
      </c>
      <c r="E12" s="17">
        <f>SUBTOTAL(109,Tabell_Häst[2023])</f>
        <v>1030</v>
      </c>
      <c r="F12" s="17">
        <f>SUBTOTAL(109,Tabell_Häst[Kvartal 1 2024])</f>
        <v>308</v>
      </c>
      <c r="G12" s="17">
        <f>SUBTOTAL(109,Tabell_Häst[Kvartal 2 2024])</f>
        <v>248</v>
      </c>
      <c r="H12" s="17">
        <f>SUBTOTAL(109,Tabell_Häst[Kvartal 3 2024])</f>
        <v>243</v>
      </c>
      <c r="I12" s="17">
        <f>SUBTOTAL(109,Tabell_Häst[Kvartal 4 2024])</f>
        <v>403</v>
      </c>
      <c r="J12" s="17">
        <f>SUBTOTAL(109,Tabell_Häst[2024])</f>
        <v>1202</v>
      </c>
      <c r="K12" s="17">
        <f>SUBTOTAL(109,Tabell_Häst[Kvartal 1 2025])</f>
        <v>213</v>
      </c>
      <c r="L12" s="17">
        <f>SUBTOTAL(109,Tabell_Häst[Kvartal 2 2025])</f>
        <v>0</v>
      </c>
      <c r="M12" s="17">
        <f>SUBTOTAL(109,Tabell_Häst[Kvartal 3 2025])</f>
        <v>0</v>
      </c>
      <c r="N12" s="17">
        <f>SUBTOTAL(109,Tabell_Häst[Kvartal 4 2025])</f>
        <v>0</v>
      </c>
      <c r="O12" s="17">
        <f>SUBTOTAL(109,Tabell_Häst[2025])</f>
        <v>213</v>
      </c>
      <c r="P12" s="18">
        <f>K12/F12-1</f>
        <v>-0.30844155844155841</v>
      </c>
      <c r="Q12" s="18">
        <f>O12/SUM(F12:F12)-1</f>
        <v>-0.30844155844155841</v>
      </c>
      <c r="R12" s="19">
        <f>SUBTOTAL(109,Tabell_Häst[Procentuell andel 2025*])</f>
        <v>1</v>
      </c>
    </row>
    <row r="13" spans="1:18" ht="15" customHeight="1" x14ac:dyDescent="0.2">
      <c r="A13" s="31" t="s">
        <v>81</v>
      </c>
    </row>
    <row r="14" spans="1:18" ht="15" customHeight="1" x14ac:dyDescent="0.2">
      <c r="A14" s="31" t="s">
        <v>37</v>
      </c>
    </row>
    <row r="15" spans="1:18" ht="15" customHeight="1" x14ac:dyDescent="0.2">
      <c r="A15" s="31" t="s">
        <v>82</v>
      </c>
    </row>
    <row r="16" spans="1:18" ht="15" customHeight="1" x14ac:dyDescent="0.2">
      <c r="A16" s="31" t="s">
        <v>39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dataConsolidate/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A95A0-4C59-453F-88B1-A5ACCEBA4089}">
  <sheetPr codeName="Blad1"/>
  <dimension ref="A1:H27"/>
  <sheetViews>
    <sheetView zoomScaleNormal="100" workbookViewId="0">
      <selection activeCell="A2" sqref="A2"/>
    </sheetView>
  </sheetViews>
  <sheetFormatPr defaultColWidth="9.85546875" defaultRowHeight="12.75" x14ac:dyDescent="0.2"/>
  <cols>
    <col min="1" max="1" width="27" style="34" customWidth="1"/>
    <col min="2" max="2" width="10.5703125" style="34" bestFit="1" customWidth="1"/>
    <col min="3" max="3" width="12.140625" style="34" customWidth="1"/>
    <col min="4" max="5" width="10" style="34" bestFit="1" customWidth="1"/>
    <col min="6" max="6" width="8.7109375" style="34" customWidth="1"/>
    <col min="7" max="7" width="8.28515625" style="34" customWidth="1"/>
    <col min="8" max="16384" width="9.85546875" style="34"/>
  </cols>
  <sheetData>
    <row r="1" spans="1:8" s="31" customFormat="1" ht="92.25" customHeight="1" x14ac:dyDescent="0.25">
      <c r="A1" s="1" t="s">
        <v>83</v>
      </c>
      <c r="E1"/>
      <c r="F1"/>
      <c r="G1"/>
      <c r="H1"/>
    </row>
    <row r="2" spans="1:8" ht="15" x14ac:dyDescent="0.25">
      <c r="A2" s="32" t="s">
        <v>84</v>
      </c>
      <c r="B2" s="33" t="s">
        <v>85</v>
      </c>
      <c r="C2" s="33" t="s">
        <v>86</v>
      </c>
      <c r="D2" s="33" t="s">
        <v>87</v>
      </c>
      <c r="E2" s="33" t="s">
        <v>88</v>
      </c>
      <c r="F2" s="33" t="s">
        <v>89</v>
      </c>
      <c r="G2" s="33" t="s">
        <v>90</v>
      </c>
    </row>
    <row r="3" spans="1:8" ht="15" x14ac:dyDescent="0.25">
      <c r="A3" s="35">
        <v>2024</v>
      </c>
      <c r="B3" s="36">
        <v>2576464</v>
      </c>
      <c r="C3" s="36">
        <v>414188</v>
      </c>
      <c r="D3" s="36">
        <v>9943</v>
      </c>
      <c r="E3" s="36">
        <v>201486</v>
      </c>
      <c r="F3" s="36">
        <v>910</v>
      </c>
      <c r="G3" s="36">
        <v>1202</v>
      </c>
    </row>
    <row r="4" spans="1:8" ht="15" x14ac:dyDescent="0.25">
      <c r="A4" s="35">
        <v>2023</v>
      </c>
      <c r="B4" s="36">
        <v>2568276</v>
      </c>
      <c r="C4" s="36">
        <v>409754</v>
      </c>
      <c r="D4" s="36">
        <v>10958</v>
      </c>
      <c r="E4" s="36">
        <v>228860</v>
      </c>
      <c r="F4" s="36">
        <v>906</v>
      </c>
      <c r="G4" s="36">
        <v>1030</v>
      </c>
    </row>
    <row r="5" spans="1:8" ht="15" x14ac:dyDescent="0.25">
      <c r="A5" s="37">
        <v>2022</v>
      </c>
      <c r="B5" s="17">
        <v>2668928</v>
      </c>
      <c r="C5" s="17">
        <v>400216</v>
      </c>
      <c r="D5" s="17">
        <v>11474</v>
      </c>
      <c r="E5" s="17">
        <v>228822</v>
      </c>
      <c r="F5" s="17">
        <v>1058</v>
      </c>
      <c r="G5" s="17">
        <v>1043</v>
      </c>
    </row>
    <row r="6" spans="1:8" ht="15" x14ac:dyDescent="0.25">
      <c r="A6" s="37">
        <v>2021</v>
      </c>
      <c r="B6" s="17">
        <v>2647847</v>
      </c>
      <c r="C6" s="17">
        <v>399962</v>
      </c>
      <c r="D6" s="17">
        <v>11499</v>
      </c>
      <c r="E6" s="17">
        <v>230120</v>
      </c>
      <c r="F6" s="17">
        <v>687</v>
      </c>
      <c r="G6" s="17">
        <v>1036</v>
      </c>
    </row>
    <row r="7" spans="1:8" ht="15" x14ac:dyDescent="0.25">
      <c r="A7" s="37">
        <v>2020</v>
      </c>
      <c r="B7" s="17">
        <v>2617581</v>
      </c>
      <c r="C7" s="17">
        <v>420198</v>
      </c>
      <c r="D7" s="17">
        <v>13468</v>
      </c>
      <c r="E7" s="17">
        <v>240517</v>
      </c>
      <c r="F7" s="17">
        <v>779</v>
      </c>
      <c r="G7" s="17">
        <v>1413</v>
      </c>
    </row>
    <row r="8" spans="1:8" ht="15" x14ac:dyDescent="0.25">
      <c r="A8" s="37">
        <v>2019</v>
      </c>
      <c r="B8" s="17">
        <v>2568189</v>
      </c>
      <c r="C8" s="17">
        <v>417043</v>
      </c>
      <c r="D8" s="17">
        <v>14891</v>
      </c>
      <c r="E8" s="17">
        <v>251708</v>
      </c>
      <c r="F8" s="17">
        <v>1198</v>
      </c>
      <c r="G8" s="17">
        <v>1712</v>
      </c>
    </row>
    <row r="9" spans="1:8" ht="15" x14ac:dyDescent="0.25">
      <c r="A9" s="37">
        <v>2018</v>
      </c>
      <c r="B9" s="17">
        <v>2640842</v>
      </c>
      <c r="C9" s="17">
        <v>409407</v>
      </c>
      <c r="D9" s="17">
        <v>15460</v>
      </c>
      <c r="E9" s="17">
        <v>280955</v>
      </c>
      <c r="F9" s="17">
        <v>1140</v>
      </c>
      <c r="G9" s="17">
        <v>1982</v>
      </c>
    </row>
    <row r="10" spans="1:8" ht="15" x14ac:dyDescent="0.25">
      <c r="A10" s="37">
        <v>2017</v>
      </c>
      <c r="B10" s="17">
        <v>2573461</v>
      </c>
      <c r="C10" s="17">
        <v>390996</v>
      </c>
      <c r="D10" s="17">
        <v>14399</v>
      </c>
      <c r="E10" s="17">
        <v>262396</v>
      </c>
      <c r="F10" s="17">
        <v>982</v>
      </c>
      <c r="G10" s="17">
        <v>2134</v>
      </c>
    </row>
    <row r="11" spans="1:8" ht="15" x14ac:dyDescent="0.25">
      <c r="A11" s="37">
        <v>2016</v>
      </c>
      <c r="B11" s="17">
        <v>2526661</v>
      </c>
      <c r="C11" s="17">
        <v>394932</v>
      </c>
      <c r="D11" s="17">
        <v>16256</v>
      </c>
      <c r="E11" s="17">
        <v>251448</v>
      </c>
      <c r="F11" s="17">
        <v>1138</v>
      </c>
      <c r="G11" s="17">
        <v>2488</v>
      </c>
    </row>
    <row r="12" spans="1:8" ht="15" x14ac:dyDescent="0.25">
      <c r="A12" s="37">
        <v>2015</v>
      </c>
      <c r="B12" s="17">
        <v>2554885</v>
      </c>
      <c r="C12" s="17">
        <v>406628</v>
      </c>
      <c r="D12" s="17">
        <v>21889</v>
      </c>
      <c r="E12" s="17">
        <v>256402</v>
      </c>
      <c r="F12" s="17">
        <v>1166</v>
      </c>
      <c r="G12" s="17">
        <v>2862</v>
      </c>
    </row>
    <row r="13" spans="1:8" ht="15" x14ac:dyDescent="0.25">
      <c r="A13" s="37">
        <v>2014</v>
      </c>
      <c r="B13" s="17">
        <v>2567911</v>
      </c>
      <c r="C13" s="17">
        <v>406088</v>
      </c>
      <c r="D13" s="17">
        <v>25739</v>
      </c>
      <c r="E13" s="17">
        <v>257808</v>
      </c>
      <c r="F13" s="17">
        <v>875</v>
      </c>
      <c r="G13" s="17">
        <v>3646</v>
      </c>
    </row>
    <row r="14" spans="1:8" ht="15" x14ac:dyDescent="0.25">
      <c r="A14" s="37">
        <v>2013</v>
      </c>
      <c r="B14" s="17">
        <v>2555848</v>
      </c>
      <c r="C14" s="17">
        <v>391347</v>
      </c>
      <c r="D14" s="17">
        <v>27091</v>
      </c>
      <c r="E14" s="17">
        <v>253097</v>
      </c>
      <c r="F14" s="17">
        <v>996</v>
      </c>
      <c r="G14" s="17">
        <v>4012</v>
      </c>
    </row>
    <row r="15" spans="1:8" ht="15" x14ac:dyDescent="0.25">
      <c r="A15" s="37">
        <v>2012</v>
      </c>
      <c r="B15" s="17">
        <v>2591862</v>
      </c>
      <c r="C15" s="17">
        <v>391826</v>
      </c>
      <c r="D15" s="17">
        <v>29133</v>
      </c>
      <c r="E15" s="17">
        <v>260521</v>
      </c>
      <c r="F15" s="17">
        <v>898</v>
      </c>
      <c r="G15" s="17">
        <v>4359</v>
      </c>
    </row>
    <row r="16" spans="1:8" ht="15" x14ac:dyDescent="0.25">
      <c r="A16" s="37">
        <v>2011</v>
      </c>
      <c r="B16" s="17">
        <v>2854837</v>
      </c>
      <c r="C16" s="17">
        <v>430061</v>
      </c>
      <c r="D16" s="17">
        <v>27188</v>
      </c>
      <c r="E16" s="17">
        <v>261993</v>
      </c>
      <c r="F16" s="17">
        <v>738</v>
      </c>
      <c r="G16" s="17">
        <v>4507</v>
      </c>
    </row>
    <row r="17" spans="1:7" ht="15" x14ac:dyDescent="0.25">
      <c r="A17" s="37">
        <v>2010</v>
      </c>
      <c r="B17" s="17">
        <v>2946689</v>
      </c>
      <c r="C17" s="17">
        <v>425664</v>
      </c>
      <c r="D17" s="17">
        <v>26655</v>
      </c>
      <c r="E17" s="17">
        <v>254909</v>
      </c>
      <c r="F17" s="17">
        <v>490</v>
      </c>
      <c r="G17" s="17">
        <v>3969</v>
      </c>
    </row>
    <row r="18" spans="1:7" ht="15" x14ac:dyDescent="0.25">
      <c r="A18" s="37">
        <v>2009</v>
      </c>
      <c r="B18" s="17">
        <v>2956412</v>
      </c>
      <c r="C18" s="17">
        <v>429526</v>
      </c>
      <c r="D18" s="17">
        <v>29425</v>
      </c>
      <c r="E18" s="17">
        <v>255072</v>
      </c>
      <c r="F18" s="17">
        <v>782</v>
      </c>
      <c r="G18" s="17">
        <v>3814</v>
      </c>
    </row>
    <row r="19" spans="1:7" ht="15" x14ac:dyDescent="0.25">
      <c r="A19" s="37">
        <v>2008</v>
      </c>
      <c r="B19" s="17">
        <v>3072441</v>
      </c>
      <c r="C19" s="17">
        <v>401597</v>
      </c>
      <c r="D19" s="17">
        <v>28661</v>
      </c>
      <c r="E19" s="17">
        <v>235031</v>
      </c>
      <c r="F19" s="17">
        <v>741</v>
      </c>
      <c r="G19" s="17">
        <v>3496</v>
      </c>
    </row>
    <row r="20" spans="1:7" ht="15" x14ac:dyDescent="0.25">
      <c r="A20" s="37">
        <v>2007</v>
      </c>
      <c r="B20" s="17">
        <v>3003777</v>
      </c>
      <c r="C20" s="17">
        <v>419408</v>
      </c>
      <c r="D20" s="17">
        <v>30124</v>
      </c>
      <c r="E20" s="17">
        <v>230975</v>
      </c>
      <c r="F20" s="17">
        <v>515</v>
      </c>
      <c r="G20" s="17">
        <v>2995</v>
      </c>
    </row>
    <row r="21" spans="1:7" ht="15" x14ac:dyDescent="0.25">
      <c r="A21" s="37">
        <v>2006</v>
      </c>
      <c r="B21" s="17">
        <v>3022036</v>
      </c>
      <c r="C21" s="17">
        <v>431679</v>
      </c>
      <c r="D21" s="17">
        <v>32425</v>
      </c>
      <c r="E21" s="17">
        <v>212854</v>
      </c>
      <c r="F21" s="17">
        <v>581</v>
      </c>
      <c r="G21" s="17">
        <v>3021</v>
      </c>
    </row>
    <row r="22" spans="1:7" ht="15" x14ac:dyDescent="0.25">
      <c r="A22" s="37">
        <v>2005</v>
      </c>
      <c r="B22" s="17">
        <v>3159941</v>
      </c>
      <c r="C22" s="17">
        <v>433044</v>
      </c>
      <c r="D22" s="17">
        <v>33036</v>
      </c>
      <c r="E22" s="17">
        <v>205983</v>
      </c>
      <c r="F22" s="17">
        <v>247</v>
      </c>
      <c r="G22" s="17">
        <v>3521</v>
      </c>
    </row>
    <row r="23" spans="1:7" ht="15" x14ac:dyDescent="0.25">
      <c r="A23" s="37">
        <v>2004</v>
      </c>
      <c r="B23" s="17">
        <v>3364833</v>
      </c>
      <c r="C23" s="17">
        <v>458016</v>
      </c>
      <c r="D23" s="17">
        <v>33868</v>
      </c>
      <c r="E23" s="17">
        <v>193241</v>
      </c>
      <c r="F23" s="17">
        <v>251</v>
      </c>
      <c r="G23" s="17">
        <v>5042</v>
      </c>
    </row>
    <row r="24" spans="1:7" ht="15" x14ac:dyDescent="0.25">
      <c r="A24" s="37">
        <v>2003</v>
      </c>
      <c r="B24" s="17">
        <v>3304939</v>
      </c>
      <c r="C24" s="17">
        <v>454222</v>
      </c>
      <c r="D24" s="17">
        <v>31536</v>
      </c>
      <c r="E24" s="17">
        <v>192432</v>
      </c>
      <c r="F24" s="17">
        <v>298</v>
      </c>
      <c r="G24" s="17">
        <v>5349</v>
      </c>
    </row>
    <row r="25" spans="1:7" ht="15" x14ac:dyDescent="0.25">
      <c r="A25" s="37">
        <v>2002</v>
      </c>
      <c r="B25" s="17">
        <v>3282338</v>
      </c>
      <c r="C25" s="17">
        <v>472928</v>
      </c>
      <c r="D25" s="17">
        <v>33831</v>
      </c>
      <c r="E25" s="17">
        <v>197278</v>
      </c>
      <c r="F25" s="17">
        <v>489</v>
      </c>
      <c r="G25" s="17">
        <v>5454</v>
      </c>
    </row>
    <row r="26" spans="1:7" ht="15" x14ac:dyDescent="0.25">
      <c r="A26" s="37">
        <v>2001</v>
      </c>
      <c r="B26" s="17">
        <v>3197296</v>
      </c>
      <c r="C26" s="17">
        <v>464032</v>
      </c>
      <c r="D26" s="17">
        <v>34290</v>
      </c>
      <c r="E26" s="17">
        <v>197343</v>
      </c>
      <c r="F26" s="17">
        <v>405</v>
      </c>
      <c r="G26" s="17">
        <v>5173</v>
      </c>
    </row>
    <row r="27" spans="1:7" ht="15.75" thickBot="1" x14ac:dyDescent="0.3">
      <c r="A27" s="38">
        <v>2000</v>
      </c>
      <c r="B27" s="39">
        <v>3256929</v>
      </c>
      <c r="C27" s="39">
        <v>490169</v>
      </c>
      <c r="D27" s="39">
        <v>39068</v>
      </c>
      <c r="E27" s="39">
        <v>203836</v>
      </c>
      <c r="F27" s="39">
        <v>391</v>
      </c>
      <c r="G27" s="39">
        <v>5448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Gris</vt:lpstr>
      <vt:lpstr>Storboskap</vt:lpstr>
      <vt:lpstr>Kalv</vt:lpstr>
      <vt:lpstr>Får och lamm</vt:lpstr>
      <vt:lpstr>Häst</vt:lpstr>
      <vt:lpstr>Årshistorik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Kvartalsstatistik för godkänd slakt kvartal 1 år 2025</dc:title>
  <dc:creator>Jordbruksverket</dc:creator>
  <cp:keywords>Storboskap, Kalv, Gris, Får och lamm, Häst, Årshistorik,</cp:keywords>
  <cp:lastModifiedBy>Arne Andersson</cp:lastModifiedBy>
  <dcterms:created xsi:type="dcterms:W3CDTF">2025-04-11T12:31:46Z</dcterms:created>
  <dcterms:modified xsi:type="dcterms:W3CDTF">2025-04-11T12:31:48Z</dcterms:modified>
</cp:coreProperties>
</file>