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ndm\Desktop\"/>
    </mc:Choice>
  </mc:AlternateContent>
  <xr:revisionPtr revIDLastSave="0" documentId="8_{2AF22673-D247-418A-8688-B58EE05843EB}" xr6:coauthVersionLast="36" xr6:coauthVersionMax="36" xr10:uidLastSave="{00000000-0000-0000-0000-000000000000}"/>
  <bookViews>
    <workbookView xWindow="0" yWindow="0" windowWidth="19200" windowHeight="8010" xr2:uid="{03683EAD-65AC-4CC7-9C4F-C19D4108C3DC}"/>
  </bookViews>
  <sheets>
    <sheet name="Gris" sheetId="1" r:id="rId1"/>
    <sheet name="Storboskap" sheetId="2" r:id="rId2"/>
    <sheet name="Kalv" sheetId="3" r:id="rId3"/>
    <sheet name="Får och lamm" sheetId="4" r:id="rId4"/>
    <sheet name="Häst" sheetId="5" r:id="rId5"/>
    <sheet name="Årshistorik" sheetId="6" r:id="rId6"/>
  </sheets>
  <externalReferences>
    <externalReference r:id="rId7"/>
  </externalReferences>
  <definedNames>
    <definedName name="rngAvbugga">[1]Instruktion!$K$9</definedName>
    <definedName name="rngMedgivande">[1]Instruktion!$K$12</definedName>
    <definedName name="rngTidstämpel">[1]Instruktion!#REF!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5" l="1"/>
  <c r="O12" i="5"/>
  <c r="Q12" i="5" s="1"/>
  <c r="N12" i="5"/>
  <c r="M12" i="5"/>
  <c r="L12" i="5"/>
  <c r="P12" i="5" s="1"/>
  <c r="K12" i="5"/>
  <c r="J12" i="5"/>
  <c r="I12" i="5"/>
  <c r="H12" i="5"/>
  <c r="G12" i="5"/>
  <c r="F12" i="5"/>
  <c r="E12" i="5"/>
  <c r="D12" i="5"/>
  <c r="C12" i="5"/>
  <c r="B12" i="5"/>
  <c r="R29" i="4"/>
  <c r="Q29" i="4"/>
  <c r="O29" i="4"/>
  <c r="N29" i="4"/>
  <c r="M29" i="4"/>
  <c r="L29" i="4"/>
  <c r="P29" i="4" s="1"/>
  <c r="K29" i="4"/>
  <c r="J29" i="4"/>
  <c r="I29" i="4"/>
  <c r="H29" i="4"/>
  <c r="G29" i="4"/>
  <c r="F29" i="4"/>
  <c r="E29" i="4"/>
  <c r="D29" i="4"/>
  <c r="C29" i="4"/>
  <c r="B29" i="4"/>
  <c r="R24" i="3"/>
  <c r="O24" i="3"/>
  <c r="Q24" i="3" s="1"/>
  <c r="N24" i="3"/>
  <c r="M24" i="3"/>
  <c r="L24" i="3"/>
  <c r="P24" i="3" s="1"/>
  <c r="K24" i="3"/>
  <c r="J24" i="3"/>
  <c r="I24" i="3"/>
  <c r="H24" i="3"/>
  <c r="G24" i="3"/>
  <c r="F24" i="3"/>
  <c r="E24" i="3"/>
  <c r="D24" i="3"/>
  <c r="C24" i="3"/>
  <c r="B24" i="3"/>
  <c r="R29" i="2"/>
  <c r="O29" i="2"/>
  <c r="Q29" i="2" s="1"/>
  <c r="N29" i="2"/>
  <c r="M29" i="2"/>
  <c r="L29" i="2"/>
  <c r="P29" i="2" s="1"/>
  <c r="K29" i="2"/>
  <c r="J29" i="2"/>
  <c r="I29" i="2"/>
  <c r="H29" i="2"/>
  <c r="G29" i="2"/>
  <c r="F29" i="2"/>
  <c r="E29" i="2"/>
  <c r="D29" i="2"/>
  <c r="C29" i="2"/>
  <c r="B29" i="2"/>
  <c r="R19" i="1"/>
  <c r="O19" i="1"/>
  <c r="Q19" i="1" s="1"/>
  <c r="N19" i="1"/>
  <c r="M19" i="1"/>
  <c r="L19" i="1"/>
  <c r="P19" i="1" s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<sst xmlns="http://schemas.openxmlformats.org/spreadsheetml/2006/main" count="229" uniqueCount="89">
  <si>
    <t>Antal slaktade grisar, uppdaterad kvartal 2 2025</t>
  </si>
  <si>
    <t>Anläggning</t>
  </si>
  <si>
    <t>2020</t>
  </si>
  <si>
    <t>2021</t>
  </si>
  <si>
    <t>2022</t>
  </si>
  <si>
    <t>2023</t>
  </si>
  <si>
    <t>Kvartal 1 2024</t>
  </si>
  <si>
    <t>Kvartal 2 2024</t>
  </si>
  <si>
    <t>Kvartal 3 2024</t>
  </si>
  <si>
    <t>Kvartal 4 2024</t>
  </si>
  <si>
    <t>2024</t>
  </si>
  <si>
    <t>Kvartal 1 2025</t>
  </si>
  <si>
    <t>Kvartal 2 2025</t>
  </si>
  <si>
    <t>Kvartal 3 2025</t>
  </si>
  <si>
    <t>Kvartal 4 2025</t>
  </si>
  <si>
    <t>2025</t>
  </si>
  <si>
    <t>Förändring kv 2 från 2024-2025</t>
  </si>
  <si>
    <t>Förändring kv 1-2 från 2024–2025</t>
  </si>
  <si>
    <t>Procentuell andel 2025*</t>
  </si>
  <si>
    <t>AB Ginsten Slakteri</t>
  </si>
  <si>
    <t>Alviksgården Lantbruks AB</t>
  </si>
  <si>
    <t>Brantestads Gårdsslakteri</t>
  </si>
  <si>
    <t>Dahlbergs Slakteri AB</t>
  </si>
  <si>
    <t>Ickholmens slakteri</t>
  </si>
  <si>
    <t>KLS Ugglarps AB Dalsjöfors</t>
  </si>
  <si>
    <t>KLS Ugglarps AB Kalmar</t>
  </si>
  <si>
    <t>KLS Ugglarps AB, Trelleborg</t>
  </si>
  <si>
    <t>Lindells Gårdsslakteri</t>
  </si>
  <si>
    <t>Lövsta Kött AB</t>
  </si>
  <si>
    <t>Protos AB</t>
  </si>
  <si>
    <t>Ragnar Johanssons Kött o Chark AB</t>
  </si>
  <si>
    <t>Roslagens Slakt och Chark AB</t>
  </si>
  <si>
    <t>Scan, Kristianstad</t>
  </si>
  <si>
    <t>Skövde Slakteri</t>
  </si>
  <si>
    <t>Övriga</t>
  </si>
  <si>
    <t>Total svensk slakt</t>
  </si>
  <si>
    <t>Tabellen visar 15 av de 39 slakterier som har slaktat grisar under 2025. Källa: Jordbruksverket</t>
  </si>
  <si>
    <t>Sammanställningen utgår från slakteriernas veckorapportering till Jordbruksverket och visar antal slaktade djur som godkänts som livsmedel</t>
  </si>
  <si>
    <t>Ingående kategorier: Samtliga djur av djurslaget svin inklusive suggor och galtar</t>
  </si>
  <si>
    <t>*Den procentuella andelen av slakten utgår från anläggning, inte företag. Det förekommer att slakteriföretag legoslaktar åt varandra.</t>
  </si>
  <si>
    <t>Antal slaktade storboskap, uppdaterad kvartal 2 2025</t>
  </si>
  <si>
    <t>Almunge Kött</t>
  </si>
  <si>
    <t>Bjursunds Slakteri AB</t>
  </si>
  <si>
    <t>Delsbo Slakteri</t>
  </si>
  <si>
    <t>Ello i Lammhult AB</t>
  </si>
  <si>
    <t>Faringe Kött &amp; Slakt AB</t>
  </si>
  <si>
    <t>Jämtlandsgården Livsmedel AB</t>
  </si>
  <si>
    <t>KLS Ugglarps AB, Hörby</t>
  </si>
  <si>
    <t>Mostorps Gård AB</t>
  </si>
  <si>
    <t>Norrbottensgården Slakteri AB</t>
  </si>
  <si>
    <t>Nyhléns Hugosons AB - Ullånger</t>
  </si>
  <si>
    <t>Närkes Slakteri i Gällersta AB</t>
  </si>
  <si>
    <t>PP Slakt AB</t>
  </si>
  <si>
    <t>Scan, Linköping</t>
  </si>
  <si>
    <t>Skånska Vilt AB</t>
  </si>
  <si>
    <t>Sörby Slakteri</t>
  </si>
  <si>
    <t>Varekils Slakteri AB</t>
  </si>
  <si>
    <t>Tabellen visar 25 av de 59 slakterier som har slaktat storboskap under 2025. Källa: Jordbruksverket</t>
  </si>
  <si>
    <t>Ingående kategorier: Samtliga nötkreatur utom späd-, göd-, och mellankalv</t>
  </si>
  <si>
    <t>Antal slaktade kalvar, uppdaterad kvartal 2 2025</t>
  </si>
  <si>
    <t>─</t>
  </si>
  <si>
    <t>Bassholma slakteri AB</t>
  </si>
  <si>
    <t>Bäsinge Slakteri AB</t>
  </si>
  <si>
    <t>–</t>
  </si>
  <si>
    <t>Lundsbol slakteri AB</t>
  </si>
  <si>
    <t>-</t>
  </si>
  <si>
    <t>Tabellen visar 20 av de 36 slakterier som har slaktat kalvar under 2025. Källa: Jordbruksverket</t>
  </si>
  <si>
    <t>Ingående kategorier: späd-, göd-, och mellankalv</t>
  </si>
  <si>
    <t>Antal slaktade får och lamm, uppdaterad kvartal 2 2025</t>
  </si>
  <si>
    <t>Appeltorps Lamm o Vilt</t>
  </si>
  <si>
    <t>Ljungskile Kött AB</t>
  </si>
  <si>
    <t>Skara Lammslakteri AB</t>
  </si>
  <si>
    <t>Sörgården Gårdsbutik&amp;slakteri</t>
  </si>
  <si>
    <t>Vikbolands Kött</t>
  </si>
  <si>
    <t>Västerslät</t>
  </si>
  <si>
    <t>Öströö Fårfarm AB</t>
  </si>
  <si>
    <t>Tabellen visar 25 av de 49 slakterier som har slaktat får och lamm under 2025. Källa: Jordbruksverket</t>
  </si>
  <si>
    <t>Ingående kategorier: Samtliga får och lamm</t>
  </si>
  <si>
    <t>Antal slaktade hästar, uppdaterad kvartal 2 2025</t>
  </si>
  <si>
    <t>Tabellen visar 8 av de 11 slakterier som har slaktat hästar under 2025. Källa: Jordbruksverket</t>
  </si>
  <si>
    <t>Ingående kategorier: Samtliga hästar</t>
  </si>
  <si>
    <t>Godkänd slakt, antal djur per år</t>
  </si>
  <si>
    <t>År</t>
  </si>
  <si>
    <t>Svin</t>
  </si>
  <si>
    <t>Storboskap</t>
  </si>
  <si>
    <t>Kalv</t>
  </si>
  <si>
    <t>Får</t>
  </si>
  <si>
    <t>Get</t>
  </si>
  <si>
    <t>Häst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</si>
</sst>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\+0%;\-0%"/>
    <numFmt numFmtId="166" formatCode="#,#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0" fillId="0" borderId="0" xfId="0" applyFont="1" applyFill="1"/>
    <xf numFmtId="3" fontId="0" fillId="0" borderId="0" xfId="0" applyNumberFormat="1" applyFont="1" applyFill="1"/>
    <xf numFmtId="3" fontId="0" fillId="3" borderId="0" xfId="0" applyNumberFormat="1" applyFont="1" applyFill="1"/>
    <xf numFmtId="3" fontId="0" fillId="4" borderId="0" xfId="0" applyNumberFormat="1" applyFont="1" applyFill="1"/>
    <xf numFmtId="165" fontId="0" fillId="0" borderId="0" xfId="0" applyNumberFormat="1" applyFont="1" applyFill="1" applyAlignment="1">
      <alignment horizontal="right"/>
    </xf>
    <xf numFmtId="9" fontId="0" fillId="0" borderId="0" xfId="0" applyNumberFormat="1" applyFont="1" applyFill="1"/>
    <xf numFmtId="166" fontId="3" fillId="0" borderId="0" xfId="0" applyNumberFormat="1" applyFont="1"/>
    <xf numFmtId="3" fontId="0" fillId="0" borderId="0" xfId="0" applyNumberFormat="1"/>
    <xf numFmtId="165" fontId="0" fillId="0" borderId="0" xfId="0" applyNumberFormat="1"/>
    <xf numFmtId="9" fontId="0" fillId="0" borderId="0" xfId="0" applyNumberFormat="1"/>
    <xf numFmtId="3" fontId="0" fillId="0" borderId="0" xfId="0" applyNumberFormat="1" applyFont="1"/>
    <xf numFmtId="3" fontId="0" fillId="4" borderId="0" xfId="0" applyNumberFormat="1" applyFill="1"/>
    <xf numFmtId="165" fontId="0" fillId="0" borderId="0" xfId="0" applyNumberFormat="1" applyFon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/>
  </cellXfs>
  <cellStyles count="2">
    <cellStyle name="Normal" xfId="0" builtinId="0"/>
    <cellStyle name="Procent" xfId="1" builtinId="5"/>
  </cellStyles>
  <dxfs count="20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\+0%;\-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5" formatCode="\+0%;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+0%;\-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EFEFE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left/>
        <right/>
        <top style="thin">
          <color theme="9" tint="0.59996337778862885"/>
        </top>
        <bottom style="thin">
          <color theme="9" tint="0.59996337778862885"/>
        </bottom>
        <vertical/>
        <horizontal style="thin">
          <color theme="9" tint="0.59996337778862885"/>
        </horizontal>
      </border>
    </dxf>
    <dxf>
      <fill>
        <patternFill>
          <bgColor theme="9" tint="0.79998168889431442"/>
        </patternFill>
      </fill>
      <border diagonalUp="0" diagonalDown="0">
        <left/>
        <right/>
        <top style="thin">
          <color theme="9" tint="0.59996337778862885"/>
        </top>
        <bottom style="thin">
          <color theme="9" tint="0.59996337778862885"/>
        </bottom>
        <vertical/>
        <horizontal style="thin">
          <color theme="9" tint="0.59996337778862885"/>
        </horizontal>
      </border>
    </dxf>
    <dxf>
      <font>
        <b/>
        <color theme="1"/>
      </font>
      <border>
        <right/>
      </border>
    </dxf>
    <dxf>
      <font>
        <b/>
        <color theme="1"/>
      </font>
    </dxf>
    <dxf>
      <font>
        <b/>
        <color theme="1"/>
      </font>
      <border>
        <left/>
        <right/>
        <top style="double">
          <color auto="1"/>
        </top>
        <bottom style="medium">
          <color auto="1"/>
        </bottom>
        <vertical/>
      </border>
    </dxf>
    <dxf>
      <font>
        <b/>
        <color theme="1"/>
      </font>
      <border>
        <left/>
        <right/>
        <top style="medium">
          <color auto="1"/>
        </top>
        <bottom style="medium">
          <color auto="1"/>
        </bottom>
        <vertical/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Light16">
    <tableStyle name="Kvartalsstatistik" pivot="0" count="9" xr9:uid="{00000000-0011-0000-FFFF-FFFF00000000}">
      <tableStyleElement type="wholeTable" dxfId="200"/>
      <tableStyleElement type="headerRow" dxfId="199"/>
      <tableStyleElement type="totalRow" dxfId="198"/>
      <tableStyleElement type="firstColumn" dxfId="197"/>
      <tableStyleElement type="lastColumn" dxfId="196"/>
      <tableStyleElement type="firstRowStripe" dxfId="195"/>
      <tableStyleElement type="secondRowStripe" dxfId="194"/>
      <tableStyleElement type="firstColumnStripe" dxfId="193"/>
      <tableStyleElement type="secondColumnStripe" dxfId="1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nhet\Kontrollenheter\Kontrollomr&#229;den\K&#246;ttklassning\Planering,%20uppf&#246;ljning%20och%20statistik\Statistik\Kvartalsstatistik\2025\Kvartalsstatistik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DAWA-underlag"/>
      <sheetName val="Urval"/>
      <sheetName val="Äldre underlag"/>
      <sheetName val="Gris"/>
      <sheetName val="Storboskap"/>
      <sheetName val="Kalv"/>
      <sheetName val="Får och lamm"/>
      <sheetName val="Get"/>
      <sheetName val="Häst"/>
      <sheetName val="Årshistorik"/>
      <sheetName val="Diagram"/>
    </sheetNames>
    <sheetDataSet>
      <sheetData sheetId="0">
        <row r="12">
          <cell r="K12" t="str">
            <v>Medger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D2BFF8-F115-4903-BAC2-7BF64F02039F}" name="Tabell_Gris" displayName="Tabell_Gris" ref="A2:R19" totalsRowCount="1">
  <autoFilter ref="A2:R1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33745EC-3A43-4CCD-9FED-8682F611F687}" name="Anläggning" totalsRowLabel="Total svensk slakt" dataDxfId="191"/>
    <tableColumn id="19" xr3:uid="{BE81C271-328A-4949-B21D-A73FF67C12D7}" name="2020" totalsRowFunction="sum" dataDxfId="190" totalsRowDxfId="189"/>
    <tableColumn id="20" xr3:uid="{5D3C244C-231A-47C3-A1B3-B748F82A720C}" name="2021" totalsRowFunction="sum" dataDxfId="188" totalsRowDxfId="187"/>
    <tableColumn id="21" xr3:uid="{1C2B18AD-955C-4960-AA26-FF70ABE98364}" name="2022" totalsRowFunction="sum" dataDxfId="186" totalsRowDxfId="185"/>
    <tableColumn id="22" xr3:uid="{50D505E2-D954-4FC5-A74D-E2AB760586AD}" name="2023" totalsRowFunction="sum" dataDxfId="184" totalsRowDxfId="183"/>
    <tableColumn id="2" xr3:uid="{D24AAB89-E05C-4428-BD16-4484D0181BD7}" name="Kvartal 1 2024" totalsRowFunction="sum" dataDxfId="182" totalsRowDxfId="181"/>
    <tableColumn id="3" xr3:uid="{73DFB01D-AA12-401B-AF83-991620B770FC}" name="Kvartal 2 2024" totalsRowFunction="sum" dataDxfId="180" totalsRowDxfId="179"/>
    <tableColumn id="4" xr3:uid="{8524878D-CA9C-4A2D-B299-01EA38A7F7A3}" name="Kvartal 3 2024" totalsRowFunction="sum" dataDxfId="178" totalsRowDxfId="177"/>
    <tableColumn id="5" xr3:uid="{2EA47829-907D-413A-A4E3-95B354F1FD24}" name="Kvartal 4 2024" totalsRowFunction="sum" dataDxfId="176" totalsRowDxfId="175"/>
    <tableColumn id="6" xr3:uid="{4E503161-95DB-4746-99B0-5C43DABB1955}" name="2024" totalsRowFunction="sum" dataDxfId="174" totalsRowDxfId="173"/>
    <tableColumn id="7" xr3:uid="{EE5E53F7-96E8-4AF9-9EB5-D1F4F36D7936}" name="Kvartal 1 2025" totalsRowFunction="sum" dataDxfId="172" totalsRowDxfId="171"/>
    <tableColumn id="8" xr3:uid="{9814310F-7EBD-4741-98CF-0116CEC07632}" name="Kvartal 2 2025" totalsRowFunction="sum" dataDxfId="170" totalsRowDxfId="169"/>
    <tableColumn id="9" xr3:uid="{92DFDB48-141F-42E3-8E7E-E79A211F6164}" name="Kvartal 3 2025" totalsRowFunction="sum" dataDxfId="168" totalsRowDxfId="167"/>
    <tableColumn id="10" xr3:uid="{9B4DFFD1-3638-42E0-BC34-0E7E69BB7643}" name="Kvartal 4 2025" totalsRowFunction="sum" dataDxfId="166" totalsRowDxfId="165"/>
    <tableColumn id="11" xr3:uid="{9E3439CF-7B49-4698-8031-E8A86F3F3117}" name="2025" totalsRowFunction="sum" dataDxfId="164" totalsRowDxfId="163"/>
    <tableColumn id="12" xr3:uid="{3918F706-AA91-4A79-A095-887B92EE9387}" name="Förändring kv 2 från 2024-2025" totalsRowFunction="custom" dataDxfId="162" totalsRowDxfId="161">
      <totalsRowFormula>L19/G19-1</totalsRowFormula>
    </tableColumn>
    <tableColumn id="13" xr3:uid="{256BA25E-9E33-43AF-AFC7-3D08A2C7B55D}" name="Förändring kv 1-2 från 2024–2025" totalsRowFunction="custom" dataDxfId="160" totalsRowDxfId="159">
      <totalsRowFormula>O19/SUM(F19:G19)-1</totalsRowFormula>
    </tableColumn>
    <tableColumn id="14" xr3:uid="{4308016B-0BC5-4C1E-8178-0478709EAC77}" name="Procentuell andel 2025*" totalsRowFunction="sum" dataDxfId="158" totalsRowDxfId="157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grisar" altTextSummary="Tabellen visar de större slakterierna kvartalsvis i år och förra året samt årsvis ytterligare fyra år tillbak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632BDB-EB54-41C7-8CFF-CEBCD41A88CF}" name="Tabell_Storb" displayName="Tabell_Storb" ref="A2:R29" totalsRowCount="1" headerRowDxfId="156" totalsRowDxfId="155">
  <autoFilter ref="A2:R28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903256AE-2665-4488-A151-51D5F1D8345E}" name="Anläggning" totalsRowLabel="Total svensk slakt" dataDxfId="154"/>
    <tableColumn id="19" xr3:uid="{FD5A7C57-8285-424E-894B-55E7B29789D9}" name="2020" totalsRowFunction="sum" dataDxfId="153" totalsRowDxfId="152"/>
    <tableColumn id="20" xr3:uid="{117BE8D2-318E-490F-801A-EE787BA19008}" name="2021" totalsRowFunction="sum" dataDxfId="151" totalsRowDxfId="150"/>
    <tableColumn id="21" xr3:uid="{837EF2DD-DCAD-4B53-81C9-BCD5B0934C6B}" name="2022" totalsRowFunction="sum" dataDxfId="149" totalsRowDxfId="148"/>
    <tableColumn id="22" xr3:uid="{73B8E344-8608-4C51-B6CB-0EEF84BDEFC4}" name="2023" totalsRowFunction="sum" dataDxfId="147" totalsRowDxfId="146"/>
    <tableColumn id="2" xr3:uid="{3D154AC9-E415-4991-A53B-572145AF09AE}" name="Kvartal 1 2024" totalsRowFunction="sum" dataDxfId="145" totalsRowDxfId="144"/>
    <tableColumn id="3" xr3:uid="{68EC5CE5-6146-42B7-90E2-521EB33F2FA6}" name="Kvartal 2 2024" totalsRowFunction="sum" dataDxfId="143" totalsRowDxfId="142"/>
    <tableColumn id="4" xr3:uid="{5A8B26A0-FC4B-44BB-8D32-0B9362D7244C}" name="Kvartal 3 2024" totalsRowFunction="sum" dataDxfId="141" totalsRowDxfId="140"/>
    <tableColumn id="5" xr3:uid="{CD9BAEA4-A3F4-4D39-B7DA-A80D6D8D2DBC}" name="Kvartal 4 2024" totalsRowFunction="sum" dataDxfId="139" totalsRowDxfId="138"/>
    <tableColumn id="6" xr3:uid="{0FFF45C7-DBD8-4C08-88FC-FC7AA6218A6A}" name="2024" totalsRowFunction="sum" dataDxfId="137" totalsRowDxfId="136"/>
    <tableColumn id="7" xr3:uid="{F9B0FD92-649E-4E78-B932-831201C6BF48}" name="Kvartal 1 2025" totalsRowFunction="sum" dataDxfId="135" totalsRowDxfId="134"/>
    <tableColumn id="8" xr3:uid="{E73DD8B5-D806-4216-8120-B14A730B10DF}" name="Kvartal 2 2025" totalsRowFunction="sum" dataDxfId="133" totalsRowDxfId="132"/>
    <tableColumn id="9" xr3:uid="{4889C2C8-DEF7-47FB-8220-B7E69BD39DF3}" name="Kvartal 3 2025" totalsRowFunction="sum" dataDxfId="131" totalsRowDxfId="130"/>
    <tableColumn id="10" xr3:uid="{EB032C47-655D-4E94-9A2A-430EC178AEE4}" name="Kvartal 4 2025" totalsRowFunction="sum" dataDxfId="129" totalsRowDxfId="128"/>
    <tableColumn id="11" xr3:uid="{BFA86334-7B68-4DDE-8A2E-5F7EBF4C0BC1}" name="2025" totalsRowFunction="sum" dataDxfId="127" totalsRowDxfId="126"/>
    <tableColumn id="12" xr3:uid="{340DA7E9-2901-4CAB-BF16-A59D33ED48D5}" name="Förändring kv 2 från 2024-2025" totalsRowFunction="custom" dataDxfId="125" totalsRowDxfId="124">
      <totalsRowFormula>L29/G29-1</totalsRowFormula>
    </tableColumn>
    <tableColumn id="13" xr3:uid="{E2035A2E-7F33-4BBC-B89E-D2262EE955C1}" name="Förändring kv 1-2 från 2024–2025" totalsRowFunction="custom" dataDxfId="123" totalsRowDxfId="122">
      <totalsRowFormula>O29/SUM(F29:G29)-1</totalsRowFormula>
    </tableColumn>
    <tableColumn id="14" xr3:uid="{1DA688C5-901E-40D3-966F-4FD6E50F609F}" name="Procentuell andel 2025*" totalsRowFunction="sum" dataDxfId="121" totalsRowDxfId="120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et slaktade storboskap" altTextSummary="Tabellen visar de större slakterierna kvartalsvis i år och förra året samt årsvis ytterligare fyra år tillbak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E12EE1-71DD-4BE9-9C3E-3B9374E259DA}" name="Tabell_Kalv" displayName="Tabell_Kalv" ref="A2:R24" totalsRowCount="1" headerRowDxfId="119" dataDxfId="118" totalsRowDxfId="117">
  <autoFilter ref="A2:R23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13EC984-C07C-483D-9F36-B17A265E477E}" name="Anläggning" totalsRowLabel="Total svensk slakt" dataDxfId="116"/>
    <tableColumn id="19" xr3:uid="{548C6A6A-FE59-4B40-BC16-082B9CB5B30B}" name="2020" totalsRowFunction="sum" dataDxfId="115" totalsRowDxfId="114"/>
    <tableColumn id="20" xr3:uid="{B33BE822-29DC-4343-A662-2D5CF3B4BF87}" name="2021" totalsRowFunction="sum" dataDxfId="113" totalsRowDxfId="112"/>
    <tableColumn id="21" xr3:uid="{FB219475-4B51-4850-A320-A45819118C84}" name="2022" totalsRowFunction="sum" dataDxfId="111" totalsRowDxfId="110"/>
    <tableColumn id="22" xr3:uid="{0B368B54-EA5D-4F7F-B9D1-B0F592D4390A}" name="2023" totalsRowFunction="sum" dataDxfId="109" totalsRowDxfId="108"/>
    <tableColumn id="2" xr3:uid="{E0B6D3B7-066E-474B-862C-C7530409C18E}" name="Kvartal 1 2024" totalsRowFunction="sum" dataDxfId="107" totalsRowDxfId="106"/>
    <tableColumn id="3" xr3:uid="{C6FC2339-C9FD-469F-BC74-A90089AD0ECB}" name="Kvartal 2 2024" totalsRowFunction="sum" dataDxfId="105" totalsRowDxfId="104"/>
    <tableColumn id="4" xr3:uid="{8421433E-4BD9-4CA3-9726-21B5408A5611}" name="Kvartal 3 2024" totalsRowFunction="sum" dataDxfId="103" totalsRowDxfId="102"/>
    <tableColumn id="5" xr3:uid="{CD825023-9EED-4ABB-B85D-23EF0CFDC59A}" name="Kvartal 4 2024" totalsRowFunction="sum" dataDxfId="101" totalsRowDxfId="100"/>
    <tableColumn id="6" xr3:uid="{5EE881F6-D01F-4E6B-BDBA-10A2B661DBC8}" name="2024" totalsRowFunction="sum" dataDxfId="99" totalsRowDxfId="98"/>
    <tableColumn id="7" xr3:uid="{B3CD390D-41BF-4C79-9DB4-25D99E80AEE8}" name="Kvartal 1 2025" totalsRowFunction="sum" dataDxfId="97" totalsRowDxfId="96"/>
    <tableColumn id="8" xr3:uid="{88E3C082-02F0-4644-9F5B-87F9001CB334}" name="Kvartal 2 2025" totalsRowFunction="sum" dataDxfId="95" totalsRowDxfId="94"/>
    <tableColumn id="9" xr3:uid="{A035CD85-43FE-469F-B461-2B6641CA1A50}" name="Kvartal 3 2025" totalsRowFunction="sum" dataDxfId="93" totalsRowDxfId="92"/>
    <tableColumn id="10" xr3:uid="{7D61D64D-3726-4552-AE60-891B899DB282}" name="Kvartal 4 2025" totalsRowFunction="sum" dataDxfId="91" totalsRowDxfId="90"/>
    <tableColumn id="11" xr3:uid="{B2D462E6-C9BA-40FE-84F2-2F2B9EC46F94}" name="2025" totalsRowFunction="sum" dataDxfId="89" totalsRowDxfId="88"/>
    <tableColumn id="12" xr3:uid="{D1495519-AAB8-4B53-B5F3-0D178A5FF48E}" name="Förändring kv 2 från 2024-2025" totalsRowFunction="custom" dataDxfId="87" totalsRowDxfId="86">
      <totalsRowFormula>L24/G24-1</totalsRowFormula>
    </tableColumn>
    <tableColumn id="13" xr3:uid="{EE546FD3-990F-4C63-8DEE-30F78A354D1D}" name="Förändring kv 1-2 från 2024–2025" totalsRowFunction="custom" dataDxfId="85" totalsRowDxfId="84">
      <totalsRowFormula>O24/SUM(F24:G24)-1</totalsRowFormula>
    </tableColumn>
    <tableColumn id="14" xr3:uid="{583F3CC6-C97C-486A-AEAE-D77B4F9C76B9}" name="Procentuell andel 2025*" totalsRowFunction="sum" dataDxfId="83" totalsRowDxfId="82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kalvar" altTextSummary="Tabellen visar de större slakterierna kvartalsvis i år och förra året samt årsvis ytterligare fyra år tillbaka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96B2D4-2B89-4B3A-8136-DDE0E807512F}" name="Tabell_Får" displayName="Tabell_Får" ref="A2:R29" totalsRowCount="1" headerRowDxfId="81" totalsRowDxfId="80">
  <autoFilter ref="A2:R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4072719-B89C-4D91-82CE-DA7A4581E326}" name="Anläggning" totalsRowLabel="Total svensk slakt" dataDxfId="79"/>
    <tableColumn id="19" xr3:uid="{B95AB606-80A2-4699-8C09-8438B2FA6C3D}" name="2020" totalsRowFunction="sum" dataDxfId="78" totalsRowDxfId="77"/>
    <tableColumn id="20" xr3:uid="{99813AB0-BA9B-4EE9-BDAA-18D25EED36F2}" name="2021" totalsRowFunction="sum" dataDxfId="76" totalsRowDxfId="75"/>
    <tableColumn id="21" xr3:uid="{47C07A24-B01B-43E7-ADB7-C10B8AF35C42}" name="2022" totalsRowFunction="sum" dataDxfId="74" totalsRowDxfId="73"/>
    <tableColumn id="22" xr3:uid="{5D3D9E43-C3FB-411B-8488-A913B10A9FE3}" name="2023" totalsRowFunction="sum" dataDxfId="72" totalsRowDxfId="71"/>
    <tableColumn id="2" xr3:uid="{B88DB78F-4E89-41DF-8738-D85986E9FB7B}" name="Kvartal 1 2024" totalsRowFunction="sum" dataDxfId="70" totalsRowDxfId="69"/>
    <tableColumn id="3" xr3:uid="{1C4A589F-33B2-4E2B-AEAD-53A45B1499A8}" name="Kvartal 2 2024" totalsRowFunction="sum" dataDxfId="68" totalsRowDxfId="67"/>
    <tableColumn id="4" xr3:uid="{E56FE9C8-82FE-458A-81D9-76F2C6AF6527}" name="Kvartal 3 2024" totalsRowFunction="sum" dataDxfId="66" totalsRowDxfId="65"/>
    <tableColumn id="5" xr3:uid="{E3184A0E-93A5-4F6B-B739-FC2D3F6F4CBC}" name="Kvartal 4 2024" totalsRowFunction="sum" dataDxfId="64" totalsRowDxfId="63"/>
    <tableColumn id="6" xr3:uid="{2BD4498C-9054-4D2D-8C5A-30AB05B5552E}" name="2024" totalsRowFunction="sum" dataDxfId="62" totalsRowDxfId="61"/>
    <tableColumn id="7" xr3:uid="{79ECBA92-E1A5-4FB8-8A2B-2DB7DFB3CB42}" name="Kvartal 1 2025" totalsRowFunction="sum" dataDxfId="60" totalsRowDxfId="59"/>
    <tableColumn id="8" xr3:uid="{DBF0BEDC-09BA-4DB3-9D02-C863CD2AA252}" name="Kvartal 2 2025" totalsRowFunction="sum" dataDxfId="58" totalsRowDxfId="57"/>
    <tableColumn id="9" xr3:uid="{F16BD3DE-226D-47F2-8E9C-20A83DC27619}" name="Kvartal 3 2025" totalsRowFunction="sum" dataDxfId="56" totalsRowDxfId="55"/>
    <tableColumn id="10" xr3:uid="{19DEF28B-4215-468F-A26B-E7BEDF4AA644}" name="Kvartal 4 2025" totalsRowFunction="sum" dataDxfId="54" totalsRowDxfId="53"/>
    <tableColumn id="11" xr3:uid="{DD2FEFA3-C6C2-413A-ABD2-69A32BBDD4AD}" name="2025" totalsRowFunction="sum" dataDxfId="52" totalsRowDxfId="51"/>
    <tableColumn id="12" xr3:uid="{2F16082B-F7A4-4DD7-802B-E4E9F13C92A7}" name="Förändring kv 2 från 2024-2025" totalsRowFunction="custom" dataDxfId="50" totalsRowDxfId="49">
      <totalsRowFormula>L29/G29-1</totalsRowFormula>
    </tableColumn>
    <tableColumn id="13" xr3:uid="{F6E013CD-801D-4F9B-BD2C-F248736A2973}" name="Förändring kv 1-2 från 2024–2025" totalsRowFunction="custom" dataDxfId="48" totalsRowDxfId="47">
      <totalsRowFormula>O29/SUM(F29:G29)-1</totalsRowFormula>
    </tableColumn>
    <tableColumn id="14" xr3:uid="{3134D1DC-B804-43DB-95CC-BE337A81C847}" name="Procentuell andel 2025*" totalsRowFunction="sum" dataDxfId="46" totalsRowDxfId="45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får och lamm" altTextSummary="Tabellen visar de större slakterierna kvartalsvis i år och förra året samt årsvis ytterligare fyra år tillbaka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FD6AF2-4F2F-4E31-BAC4-910D0C6B68E6}" name="Tabell_Häst" displayName="Tabell_Häst" ref="A2:R12" totalsRowCount="1" headerRowDxfId="44" dataDxfId="43" totalsRowDxfId="42">
  <autoFilter ref="A2:R1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ADF64B8-50E5-4C0D-ABAA-A8A67AC52A7A}" name="Anläggning" totalsRowLabel="Total svensk slakt" dataDxfId="41"/>
    <tableColumn id="19" xr3:uid="{80D18DC8-9271-428D-AE29-E79DCE91C3AA}" name="2020" totalsRowFunction="sum" dataDxfId="40" totalsRowDxfId="39"/>
    <tableColumn id="20" xr3:uid="{5FB366CD-6881-464E-8438-CD798B1D2DDC}" name="2021" totalsRowFunction="sum" dataDxfId="38" totalsRowDxfId="37"/>
    <tableColumn id="21" xr3:uid="{074DA0BF-709D-4BAE-8290-952926CAD3CF}" name="2022" totalsRowFunction="sum" dataDxfId="36" totalsRowDxfId="35"/>
    <tableColumn id="22" xr3:uid="{C3CA7202-E910-4340-AEBF-A5AD4A2D4EF5}" name="2023" totalsRowFunction="sum" dataDxfId="34" totalsRowDxfId="33"/>
    <tableColumn id="2" xr3:uid="{EDCF8C21-9DF4-4183-8FBD-B7CAFFD6E364}" name="Kvartal 1 2024" totalsRowFunction="sum" dataDxfId="32" totalsRowDxfId="31"/>
    <tableColumn id="3" xr3:uid="{75D27CC9-EA9B-4453-A833-6BF79AC8FBBB}" name="Kvartal 2 2024" totalsRowFunction="sum" dataDxfId="30" totalsRowDxfId="29"/>
    <tableColumn id="4" xr3:uid="{D821C312-46B4-4811-BB91-31BF6FEAF867}" name="Kvartal 3 2024" totalsRowFunction="sum" dataDxfId="28" totalsRowDxfId="27"/>
    <tableColumn id="5" xr3:uid="{6A28A2AA-A2A8-497C-8F04-7FF7AC41D24B}" name="Kvartal 4 2024" totalsRowFunction="sum" dataDxfId="26" totalsRowDxfId="25"/>
    <tableColumn id="6" xr3:uid="{BAE3DFBE-52A9-493E-B2E5-FA62EE7C1A5B}" name="2024" totalsRowFunction="sum" dataDxfId="24" totalsRowDxfId="23"/>
    <tableColumn id="7" xr3:uid="{93A2BC91-6A50-49F1-BA77-A34844B0944A}" name="Kvartal 1 2025" totalsRowFunction="sum" dataDxfId="22" totalsRowDxfId="21"/>
    <tableColumn id="8" xr3:uid="{C22C9700-DD5A-414A-AFB6-9EAECBE7494E}" name="Kvartal 2 2025" totalsRowFunction="sum" dataDxfId="20" totalsRowDxfId="19"/>
    <tableColumn id="9" xr3:uid="{D7A8B455-E3BD-42D6-8F43-429E9A6FFE8F}" name="Kvartal 3 2025" totalsRowFunction="sum" dataDxfId="18" totalsRowDxfId="17"/>
    <tableColumn id="10" xr3:uid="{6805B775-0AF0-4F54-B306-0345E0D9BD86}" name="Kvartal 4 2025" totalsRowFunction="sum" dataDxfId="16" totalsRowDxfId="15"/>
    <tableColumn id="11" xr3:uid="{C1BDBB08-C331-4BDF-AF81-E451954FD00E}" name="2025" totalsRowFunction="sum" dataDxfId="14" totalsRowDxfId="13"/>
    <tableColumn id="12" xr3:uid="{D03A0CD2-1981-40E5-8E58-3F69F27C789F}" name="Förändring kv 2 från 2024-2025" totalsRowFunction="custom" dataDxfId="12" totalsRowDxfId="11">
      <totalsRowFormula>L12/G12-1</totalsRowFormula>
    </tableColumn>
    <tableColumn id="13" xr3:uid="{BA9E27DE-2CD3-41BC-9F49-7C6ED3173D9B}" name="Förändring kv 1-2 från 2024–2025" totalsRowFunction="custom" dataDxfId="10" totalsRowDxfId="9">
      <totalsRowFormula>O12/SUM(F12:G12)-1</totalsRowFormula>
    </tableColumn>
    <tableColumn id="14" xr3:uid="{E465F3B1-B65D-4BBB-9479-EF3E7AA3E888}" name="Procentuell andel 2025*" totalsRowFunction="sum" dataDxfId="8" totalsRowDxfId="7"/>
  </tableColumns>
  <tableStyleInfo name="Kvartalsstatistik" showFirstColumn="1" showLastColumn="0" showRowStripes="1" showColumnStripes="0"/>
  <extLst>
    <ext xmlns:x14="http://schemas.microsoft.com/office/spreadsheetml/2009/9/main" uri="{504A1905-F514-4f6f-8877-14C23A59335A}">
      <x14:table altText="Tabell över antal slaktade får och lamm" altTextSummary="Tabellen visar de större slakterierna kvartalsvis i år och förra året samt årsvis ytterligare fyra år tillbaka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C8963F-4B59-4A7E-85A3-83C73DE736DB}" name="Tabell_Årshistorik" displayName="Tabell_Årshistorik" ref="A2:G27" totalsRowShown="0">
  <autoFilter ref="A2:G27" xr:uid="{D4AD92F7-E702-42E6-963F-C7916247EA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A3:G17">
    <sortCondition descending="1" ref="A6"/>
  </sortState>
  <tableColumns count="7">
    <tableColumn id="1" xr3:uid="{7EED5507-30F1-47B6-86D2-945F47BFF6A6}" name="År" dataDxfId="6"/>
    <tableColumn id="2" xr3:uid="{7D7D34B4-0FB6-4089-B0E7-94E37BC2816E}" name="Svin" dataDxfId="5"/>
    <tableColumn id="3" xr3:uid="{66CB79F0-7B3E-4971-A494-ACD13D462D22}" name="Storboskap" dataDxfId="4"/>
    <tableColumn id="4" xr3:uid="{1498423C-B796-4E6B-A193-04564A65F3E1}" name="Kalv" dataDxfId="3"/>
    <tableColumn id="5" xr3:uid="{AE4D7640-72BF-4D43-B8AF-3D5913D9BEE6}" name="Får" dataDxfId="2"/>
    <tableColumn id="6" xr3:uid="{B598DFE7-218A-4F5A-8B75-977B5E821ADC}" name="Get" dataDxfId="1"/>
    <tableColumn id="7" xr3:uid="{ECC363E6-75F6-40EA-B739-258A8C5F1B4D}" name="Häst" dataDxfId="0"/>
  </tableColumns>
  <tableStyleInfo name="Kvartalsstatistik" showFirstColumn="1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CE327-E56A-4A0A-B928-B8D512E98B05}">
  <sheetPr codeName="flSvin">
    <pageSetUpPr fitToPage="1"/>
  </sheetPr>
  <dimension ref="A1:S60"/>
  <sheetViews>
    <sheetView tabSelected="1" workbookViewId="0">
      <selection activeCell="A2" sqref="A2"/>
    </sheetView>
  </sheetViews>
  <sheetFormatPr defaultColWidth="9.1796875" defaultRowHeight="14.5" x14ac:dyDescent="0.35"/>
  <cols>
    <col min="1" max="1" width="27" customWidth="1"/>
    <col min="2" max="2" width="8.81640625" bestFit="1" customWidth="1"/>
    <col min="3" max="3" width="9.453125" customWidth="1"/>
    <col min="4" max="4" width="9.26953125" customWidth="1"/>
    <col min="5" max="5" width="9.1796875" customWidth="1"/>
    <col min="6" max="9" width="8.26953125" customWidth="1"/>
    <col min="10" max="10" width="8.7265625" customWidth="1"/>
    <col min="11" max="14" width="8.26953125" customWidth="1"/>
    <col min="15" max="15" width="9.1796875" customWidth="1"/>
    <col min="16" max="16" width="10.7265625" customWidth="1"/>
    <col min="17" max="17" width="11.26953125" customWidth="1"/>
    <col min="18" max="18" width="11.54296875" customWidth="1"/>
  </cols>
  <sheetData>
    <row r="1" spans="1:19" ht="92.25" customHeight="1" x14ac:dyDescent="0.35">
      <c r="A1" s="1" t="s">
        <v>0</v>
      </c>
      <c r="J1" s="1"/>
      <c r="R1" s="2"/>
    </row>
    <row r="2" spans="1:19" ht="45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  <c r="S2" s="8"/>
    </row>
    <row r="3" spans="1:19" ht="15" customHeight="1" x14ac:dyDescent="0.35">
      <c r="A3" s="9" t="s">
        <v>19</v>
      </c>
      <c r="B3" s="10">
        <v>78626</v>
      </c>
      <c r="C3" s="10">
        <v>75524</v>
      </c>
      <c r="D3" s="10">
        <v>67029</v>
      </c>
      <c r="E3" s="10">
        <v>52236</v>
      </c>
      <c r="F3" s="11">
        <v>12964</v>
      </c>
      <c r="G3" s="11">
        <v>12255</v>
      </c>
      <c r="H3" s="11">
        <v>12959</v>
      </c>
      <c r="I3" s="11">
        <v>11859</v>
      </c>
      <c r="J3" s="10">
        <v>50037</v>
      </c>
      <c r="K3" s="12">
        <v>12581</v>
      </c>
      <c r="L3" s="12">
        <v>11267</v>
      </c>
      <c r="M3" s="12"/>
      <c r="N3" s="12"/>
      <c r="O3" s="10">
        <v>23848</v>
      </c>
      <c r="P3" s="13">
        <v>-8.0620155038759744E-2</v>
      </c>
      <c r="Q3" s="13">
        <v>-5.4363773345493471E-2</v>
      </c>
      <c r="R3" s="14">
        <v>1.8564042365374105E-2</v>
      </c>
      <c r="S3" s="15"/>
    </row>
    <row r="4" spans="1:19" ht="15" customHeight="1" x14ac:dyDescent="0.35">
      <c r="A4" s="9" t="s">
        <v>20</v>
      </c>
      <c r="B4" s="10">
        <v>50345</v>
      </c>
      <c r="C4" s="10">
        <v>52910</v>
      </c>
      <c r="D4" s="10">
        <v>51544</v>
      </c>
      <c r="E4" s="10">
        <v>51504</v>
      </c>
      <c r="F4" s="11">
        <v>13792</v>
      </c>
      <c r="G4" s="11">
        <v>12265</v>
      </c>
      <c r="H4" s="11">
        <v>12135</v>
      </c>
      <c r="I4" s="11">
        <v>12444</v>
      </c>
      <c r="J4" s="10">
        <v>50636</v>
      </c>
      <c r="K4" s="12">
        <v>12988</v>
      </c>
      <c r="L4" s="12">
        <v>11983</v>
      </c>
      <c r="M4" s="12"/>
      <c r="N4" s="12"/>
      <c r="O4" s="10">
        <v>24971</v>
      </c>
      <c r="P4" s="13">
        <v>-2.2992254382388944E-2</v>
      </c>
      <c r="Q4" s="13">
        <v>-4.1677860075987283E-2</v>
      </c>
      <c r="R4" s="14">
        <v>1.9438221314397718E-2</v>
      </c>
    </row>
    <row r="5" spans="1:19" ht="15" customHeight="1" x14ac:dyDescent="0.35">
      <c r="A5" s="9" t="s">
        <v>21</v>
      </c>
      <c r="B5" s="10">
        <v>2242</v>
      </c>
      <c r="C5" s="10">
        <v>2179</v>
      </c>
      <c r="D5" s="10">
        <v>2226</v>
      </c>
      <c r="E5" s="10">
        <v>1630</v>
      </c>
      <c r="F5" s="11">
        <v>376</v>
      </c>
      <c r="G5" s="11">
        <v>541</v>
      </c>
      <c r="H5" s="11">
        <v>440</v>
      </c>
      <c r="I5" s="11">
        <v>536</v>
      </c>
      <c r="J5" s="10">
        <v>1893</v>
      </c>
      <c r="K5" s="12">
        <v>443</v>
      </c>
      <c r="L5" s="12">
        <v>487</v>
      </c>
      <c r="M5" s="12"/>
      <c r="N5" s="12"/>
      <c r="O5" s="10">
        <v>930</v>
      </c>
      <c r="P5" s="13">
        <v>-9.9815157116451059E-2</v>
      </c>
      <c r="Q5" s="13">
        <v>1.4176663031624903E-2</v>
      </c>
      <c r="R5" s="14">
        <v>7.2394160515757799E-4</v>
      </c>
    </row>
    <row r="6" spans="1:19" ht="15" customHeight="1" x14ac:dyDescent="0.35">
      <c r="A6" s="9" t="s">
        <v>22</v>
      </c>
      <c r="B6" s="10">
        <v>207876</v>
      </c>
      <c r="C6" s="10">
        <v>204679</v>
      </c>
      <c r="D6" s="10">
        <v>210698</v>
      </c>
      <c r="E6" s="10">
        <v>208268</v>
      </c>
      <c r="F6" s="11">
        <v>54632</v>
      </c>
      <c r="G6" s="11">
        <v>54412</v>
      </c>
      <c r="H6" s="11">
        <v>53781</v>
      </c>
      <c r="I6" s="11">
        <v>50897</v>
      </c>
      <c r="J6" s="10">
        <v>213722</v>
      </c>
      <c r="K6" s="12">
        <v>54523</v>
      </c>
      <c r="L6" s="12">
        <v>51330</v>
      </c>
      <c r="M6" s="12"/>
      <c r="N6" s="12"/>
      <c r="O6" s="10">
        <v>105853</v>
      </c>
      <c r="P6" s="13">
        <v>-5.6641917224141691E-2</v>
      </c>
      <c r="Q6" s="13">
        <v>-2.9263416602472447E-2</v>
      </c>
      <c r="R6" s="14">
        <v>8.239934487176892E-2</v>
      </c>
    </row>
    <row r="7" spans="1:19" ht="15" customHeight="1" x14ac:dyDescent="0.35">
      <c r="A7" s="9" t="s">
        <v>23</v>
      </c>
      <c r="B7" s="10">
        <v>47191</v>
      </c>
      <c r="C7" s="10">
        <v>58126</v>
      </c>
      <c r="D7" s="10">
        <v>60953</v>
      </c>
      <c r="E7" s="10">
        <v>56468</v>
      </c>
      <c r="F7" s="11">
        <v>16031</v>
      </c>
      <c r="G7" s="11">
        <v>14615</v>
      </c>
      <c r="H7" s="11">
        <v>16602</v>
      </c>
      <c r="I7" s="11">
        <v>14503</v>
      </c>
      <c r="J7" s="10">
        <v>61751</v>
      </c>
      <c r="K7" s="12">
        <v>15253</v>
      </c>
      <c r="L7" s="12">
        <v>13502</v>
      </c>
      <c r="M7" s="12"/>
      <c r="N7" s="12"/>
      <c r="O7" s="10">
        <v>28755</v>
      </c>
      <c r="P7" s="13">
        <v>-7.615463564830649E-2</v>
      </c>
      <c r="Q7" s="13">
        <v>-6.1704627031260229E-2</v>
      </c>
      <c r="R7" s="14">
        <v>2.2383807372372208E-2</v>
      </c>
    </row>
    <row r="8" spans="1:19" ht="15" customHeight="1" x14ac:dyDescent="0.35">
      <c r="A8" s="9" t="s">
        <v>24</v>
      </c>
      <c r="B8" s="10">
        <v>381212</v>
      </c>
      <c r="C8" s="10">
        <v>396781</v>
      </c>
      <c r="D8" s="10">
        <v>399539</v>
      </c>
      <c r="E8" s="10">
        <v>382237</v>
      </c>
      <c r="F8" s="11">
        <v>99597</v>
      </c>
      <c r="G8" s="11">
        <v>94941</v>
      </c>
      <c r="H8" s="11">
        <v>98948</v>
      </c>
      <c r="I8" s="11">
        <v>97019</v>
      </c>
      <c r="J8" s="10">
        <v>390505</v>
      </c>
      <c r="K8" s="12">
        <v>97876</v>
      </c>
      <c r="L8" s="12">
        <v>94933</v>
      </c>
      <c r="M8" s="12"/>
      <c r="N8" s="12"/>
      <c r="O8" s="10">
        <v>192809</v>
      </c>
      <c r="P8" s="13">
        <v>-8.426285798546207E-5</v>
      </c>
      <c r="Q8" s="13">
        <v>-8.8877237352085192E-3</v>
      </c>
      <c r="R8" s="14">
        <v>0.15008866338583596</v>
      </c>
    </row>
    <row r="9" spans="1:19" ht="15" customHeight="1" x14ac:dyDescent="0.35">
      <c r="A9" s="9" t="s">
        <v>25</v>
      </c>
      <c r="B9" s="10">
        <v>397509</v>
      </c>
      <c r="C9" s="10">
        <v>393976</v>
      </c>
      <c r="D9" s="10">
        <v>399235</v>
      </c>
      <c r="E9" s="10">
        <v>368386</v>
      </c>
      <c r="F9" s="11">
        <v>99392</v>
      </c>
      <c r="G9" s="11">
        <v>93660</v>
      </c>
      <c r="H9" s="11">
        <v>99755</v>
      </c>
      <c r="I9" s="11">
        <v>96943</v>
      </c>
      <c r="J9" s="10">
        <v>389750</v>
      </c>
      <c r="K9" s="12">
        <v>98404</v>
      </c>
      <c r="L9" s="12">
        <v>93063</v>
      </c>
      <c r="M9" s="12"/>
      <c r="N9" s="12"/>
      <c r="O9" s="10">
        <v>191467</v>
      </c>
      <c r="P9" s="13">
        <v>-6.3741191543882358E-3</v>
      </c>
      <c r="Q9" s="13">
        <v>-8.2102231523113467E-3</v>
      </c>
      <c r="R9" s="14">
        <v>0.14904400786527525</v>
      </c>
    </row>
    <row r="10" spans="1:19" ht="15" customHeight="1" x14ac:dyDescent="0.35">
      <c r="A10" s="9" t="s">
        <v>26</v>
      </c>
      <c r="B10" s="10">
        <v>249504</v>
      </c>
      <c r="C10" s="10">
        <v>247645</v>
      </c>
      <c r="D10" s="10">
        <v>244006</v>
      </c>
      <c r="E10" s="10">
        <v>232800</v>
      </c>
      <c r="F10" s="11">
        <v>60933</v>
      </c>
      <c r="G10" s="11">
        <v>56905</v>
      </c>
      <c r="H10" s="11">
        <v>60685</v>
      </c>
      <c r="I10" s="11">
        <v>57178</v>
      </c>
      <c r="J10" s="10">
        <v>235701</v>
      </c>
      <c r="K10" s="12">
        <v>57318</v>
      </c>
      <c r="L10" s="12">
        <v>54513</v>
      </c>
      <c r="M10" s="12"/>
      <c r="N10" s="12"/>
      <c r="O10" s="10">
        <v>111831</v>
      </c>
      <c r="P10" s="13">
        <v>-4.2034970564976737E-2</v>
      </c>
      <c r="Q10" s="13">
        <v>-5.0976764710874201E-2</v>
      </c>
      <c r="R10" s="14">
        <v>8.7052810372448497E-2</v>
      </c>
    </row>
    <row r="11" spans="1:19" ht="15" customHeight="1" x14ac:dyDescent="0.35">
      <c r="A11" s="9" t="s">
        <v>27</v>
      </c>
      <c r="B11" s="10">
        <v>28220</v>
      </c>
      <c r="C11" s="10">
        <v>35961</v>
      </c>
      <c r="D11" s="10">
        <v>39651</v>
      </c>
      <c r="E11" s="10">
        <v>35146</v>
      </c>
      <c r="F11" s="11">
        <v>8505</v>
      </c>
      <c r="G11" s="11">
        <v>7818</v>
      </c>
      <c r="H11" s="11">
        <v>8010</v>
      </c>
      <c r="I11" s="11">
        <v>7388</v>
      </c>
      <c r="J11" s="10">
        <v>31721</v>
      </c>
      <c r="K11" s="12">
        <v>7745</v>
      </c>
      <c r="L11" s="12">
        <v>8581</v>
      </c>
      <c r="M11" s="12"/>
      <c r="N11" s="12"/>
      <c r="O11" s="10">
        <v>16326</v>
      </c>
      <c r="P11" s="13">
        <v>9.7595292913788656E-2</v>
      </c>
      <c r="Q11" s="13">
        <v>1.8378974453225894E-4</v>
      </c>
      <c r="R11" s="14">
        <v>1.2708678113766256E-2</v>
      </c>
    </row>
    <row r="12" spans="1:19" ht="15" customHeight="1" x14ac:dyDescent="0.35">
      <c r="A12" s="9" t="s">
        <v>28</v>
      </c>
      <c r="B12" s="10">
        <v>31306</v>
      </c>
      <c r="C12" s="10">
        <v>32085</v>
      </c>
      <c r="D12" s="10">
        <v>28556</v>
      </c>
      <c r="E12" s="10">
        <v>23771</v>
      </c>
      <c r="F12" s="11">
        <v>5983</v>
      </c>
      <c r="G12" s="11">
        <v>5804</v>
      </c>
      <c r="H12" s="11">
        <v>6132</v>
      </c>
      <c r="I12" s="11">
        <v>4613</v>
      </c>
      <c r="J12" s="10">
        <v>22532</v>
      </c>
      <c r="K12" s="12">
        <v>3249</v>
      </c>
      <c r="L12" s="12">
        <v>4378</v>
      </c>
      <c r="M12" s="12"/>
      <c r="N12" s="12"/>
      <c r="O12" s="10">
        <v>7627</v>
      </c>
      <c r="P12" s="13">
        <v>-0.24569262577532736</v>
      </c>
      <c r="Q12" s="13">
        <v>-0.35293119538474593</v>
      </c>
      <c r="R12" s="14">
        <v>5.9370995941256423E-3</v>
      </c>
    </row>
    <row r="13" spans="1:19" ht="15" customHeight="1" x14ac:dyDescent="0.35">
      <c r="A13" s="9" t="s">
        <v>29</v>
      </c>
      <c r="B13" s="10">
        <v>66805</v>
      </c>
      <c r="C13" s="10">
        <v>70437</v>
      </c>
      <c r="D13" s="10">
        <v>68452</v>
      </c>
      <c r="E13" s="10">
        <v>64095</v>
      </c>
      <c r="F13" s="11">
        <v>16940</v>
      </c>
      <c r="G13" s="11">
        <v>16642</v>
      </c>
      <c r="H13" s="11">
        <v>16048</v>
      </c>
      <c r="I13" s="11">
        <v>15513</v>
      </c>
      <c r="J13" s="10">
        <v>65143</v>
      </c>
      <c r="K13" s="12">
        <v>16784</v>
      </c>
      <c r="L13" s="12">
        <v>16131</v>
      </c>
      <c r="M13" s="12"/>
      <c r="N13" s="12"/>
      <c r="O13" s="10">
        <v>32915</v>
      </c>
      <c r="P13" s="13">
        <v>-3.0705444057204656E-2</v>
      </c>
      <c r="Q13" s="13">
        <v>-1.9861830742659792E-2</v>
      </c>
      <c r="R13" s="14">
        <v>2.562208379974374E-2</v>
      </c>
    </row>
    <row r="14" spans="1:19" ht="15" customHeight="1" x14ac:dyDescent="0.35">
      <c r="A14" s="9" t="s">
        <v>30</v>
      </c>
      <c r="B14" s="10">
        <v>2646</v>
      </c>
      <c r="C14" s="10">
        <v>2365</v>
      </c>
      <c r="D14" s="10">
        <v>2289</v>
      </c>
      <c r="E14" s="10">
        <v>2697</v>
      </c>
      <c r="F14" s="11">
        <v>535</v>
      </c>
      <c r="G14" s="11">
        <v>647</v>
      </c>
      <c r="H14" s="11">
        <v>753</v>
      </c>
      <c r="I14" s="11">
        <v>771</v>
      </c>
      <c r="J14" s="10">
        <v>2706</v>
      </c>
      <c r="K14" s="12">
        <v>487</v>
      </c>
      <c r="L14" s="12">
        <v>709</v>
      </c>
      <c r="M14" s="12"/>
      <c r="N14" s="12"/>
      <c r="O14" s="10">
        <v>1196</v>
      </c>
      <c r="P14" s="13">
        <v>9.5826893353941234E-2</v>
      </c>
      <c r="Q14" s="13">
        <v>1.1844331641285955E-2</v>
      </c>
      <c r="R14" s="14">
        <v>9.3100447286931535E-4</v>
      </c>
    </row>
    <row r="15" spans="1:19" ht="15" customHeight="1" x14ac:dyDescent="0.35">
      <c r="A15" s="9" t="s">
        <v>31</v>
      </c>
      <c r="B15" s="10">
        <v>476</v>
      </c>
      <c r="C15" s="10">
        <v>384</v>
      </c>
      <c r="D15" s="10">
        <v>613</v>
      </c>
      <c r="E15" s="10">
        <v>594</v>
      </c>
      <c r="F15" s="11">
        <v>251</v>
      </c>
      <c r="G15" s="11">
        <v>321</v>
      </c>
      <c r="H15" s="11">
        <v>273</v>
      </c>
      <c r="I15" s="11">
        <v>340</v>
      </c>
      <c r="J15" s="10">
        <v>1185</v>
      </c>
      <c r="K15" s="12">
        <v>264</v>
      </c>
      <c r="L15" s="12">
        <v>316</v>
      </c>
      <c r="M15" s="12"/>
      <c r="N15" s="12"/>
      <c r="O15" s="10">
        <v>580</v>
      </c>
      <c r="P15" s="13">
        <v>-1.5576323987538943E-2</v>
      </c>
      <c r="Q15" s="13">
        <v>1.3986013986013957E-2</v>
      </c>
      <c r="R15" s="14">
        <v>4.5149046343160773E-4</v>
      </c>
    </row>
    <row r="16" spans="1:19" ht="15" customHeight="1" x14ac:dyDescent="0.35">
      <c r="A16" s="9" t="s">
        <v>32</v>
      </c>
      <c r="B16" s="10">
        <v>689218</v>
      </c>
      <c r="C16" s="10">
        <v>712620</v>
      </c>
      <c r="D16" s="10">
        <v>730029</v>
      </c>
      <c r="E16" s="10">
        <v>738536</v>
      </c>
      <c r="F16" s="11">
        <v>174618</v>
      </c>
      <c r="G16" s="11">
        <v>172435</v>
      </c>
      <c r="H16" s="11">
        <v>186707</v>
      </c>
      <c r="I16" s="11">
        <v>186157</v>
      </c>
      <c r="J16" s="10">
        <v>719917</v>
      </c>
      <c r="K16" s="12">
        <v>189957</v>
      </c>
      <c r="L16" s="12">
        <v>180511</v>
      </c>
      <c r="M16" s="12"/>
      <c r="N16" s="12"/>
      <c r="O16" s="10">
        <v>370468</v>
      </c>
      <c r="P16" s="13">
        <v>4.6835039290167302E-2</v>
      </c>
      <c r="Q16" s="13">
        <v>6.7468081244075107E-2</v>
      </c>
      <c r="R16" s="14">
        <v>0.28838408449410491</v>
      </c>
    </row>
    <row r="17" spans="1:18" ht="15" customHeight="1" x14ac:dyDescent="0.35">
      <c r="A17" s="9" t="s">
        <v>33</v>
      </c>
      <c r="B17" s="10">
        <v>345840</v>
      </c>
      <c r="C17" s="10">
        <v>334384</v>
      </c>
      <c r="D17" s="10">
        <v>340815</v>
      </c>
      <c r="E17" s="10">
        <v>334188</v>
      </c>
      <c r="F17" s="11">
        <v>83011</v>
      </c>
      <c r="G17" s="11">
        <v>80086</v>
      </c>
      <c r="H17" s="11">
        <v>83893</v>
      </c>
      <c r="I17" s="11">
        <v>82254</v>
      </c>
      <c r="J17" s="10">
        <v>329244</v>
      </c>
      <c r="K17" s="12">
        <v>89026</v>
      </c>
      <c r="L17" s="12">
        <v>82818</v>
      </c>
      <c r="M17" s="12"/>
      <c r="N17" s="12"/>
      <c r="O17" s="10">
        <v>171844</v>
      </c>
      <c r="P17" s="13">
        <v>3.4113328172214796E-2</v>
      </c>
      <c r="Q17" s="13">
        <v>5.3630661508182298E-2</v>
      </c>
      <c r="R17" s="14">
        <v>0.13376883999645034</v>
      </c>
    </row>
    <row r="18" spans="1:18" ht="15" customHeight="1" x14ac:dyDescent="0.35">
      <c r="A18" s="9" t="s">
        <v>34</v>
      </c>
      <c r="B18" s="10">
        <v>38565</v>
      </c>
      <c r="C18" s="10">
        <v>27791</v>
      </c>
      <c r="D18" s="10">
        <v>23293</v>
      </c>
      <c r="E18" s="10">
        <v>15778</v>
      </c>
      <c r="F18" s="11">
        <v>2813</v>
      </c>
      <c r="G18" s="11">
        <v>2758</v>
      </c>
      <c r="H18" s="11">
        <v>1885</v>
      </c>
      <c r="I18" s="11">
        <v>2565</v>
      </c>
      <c r="J18" s="10">
        <v>10021</v>
      </c>
      <c r="K18" s="12">
        <v>1311</v>
      </c>
      <c r="L18" s="12">
        <v>1903</v>
      </c>
      <c r="M18" s="12"/>
      <c r="N18" s="12"/>
      <c r="O18" s="10">
        <v>3214</v>
      </c>
      <c r="P18" s="13">
        <v>-0.31000725163161713</v>
      </c>
      <c r="Q18" s="13">
        <v>-0.42308382696104829</v>
      </c>
      <c r="R18" s="14">
        <v>2.5018799128779094E-3</v>
      </c>
    </row>
    <row r="19" spans="1:18" ht="15" customHeight="1" x14ac:dyDescent="0.35">
      <c r="A19" t="s">
        <v>35</v>
      </c>
      <c r="B19" s="16">
        <f>SUBTOTAL(109,Tabell_Gris[2020])</f>
        <v>2617581</v>
      </c>
      <c r="C19" s="16">
        <f>SUBTOTAL(109,Tabell_Gris[2021])</f>
        <v>2647847</v>
      </c>
      <c r="D19" s="16">
        <f>SUBTOTAL(109,Tabell_Gris[2022])</f>
        <v>2668928</v>
      </c>
      <c r="E19" s="16">
        <f>SUBTOTAL(109,Tabell_Gris[2023])</f>
        <v>2568334</v>
      </c>
      <c r="F19" s="16">
        <f>SUBTOTAL(109,Tabell_Gris[Kvartal 1 2024])</f>
        <v>650373</v>
      </c>
      <c r="G19" s="16">
        <f>SUBTOTAL(109,Tabell_Gris[Kvartal 2 2024])</f>
        <v>626105</v>
      </c>
      <c r="H19" s="16">
        <f>SUBTOTAL(109,Tabell_Gris[Kvartal 3 2024])</f>
        <v>659006</v>
      </c>
      <c r="I19" s="16">
        <f>SUBTOTAL(109,Tabell_Gris[Kvartal 4 2024])</f>
        <v>640980</v>
      </c>
      <c r="J19" s="16">
        <f>SUBTOTAL(109,Tabell_Gris[2024])</f>
        <v>2576464</v>
      </c>
      <c r="K19" s="16">
        <f>SUBTOTAL(109,Tabell_Gris[Kvartal 1 2025])</f>
        <v>658209</v>
      </c>
      <c r="L19" s="16">
        <f>SUBTOTAL(109,Tabell_Gris[Kvartal 2 2025])</f>
        <v>626425</v>
      </c>
      <c r="M19" s="16">
        <f>SUBTOTAL(109,Tabell_Gris[Kvartal 3 2025])</f>
        <v>0</v>
      </c>
      <c r="N19" s="16">
        <f>SUBTOTAL(109,Tabell_Gris[Kvartal 4 2025])</f>
        <v>0</v>
      </c>
      <c r="O19" s="16">
        <f>SUBTOTAL(109,Tabell_Gris[2025])</f>
        <v>1284634</v>
      </c>
      <c r="P19" s="17">
        <f>L19/G19-1</f>
        <v>5.1109638159729798E-4</v>
      </c>
      <c r="Q19" s="17">
        <f>O19/SUM(F19:G19)-1</f>
        <v>6.3894559874906331E-3</v>
      </c>
      <c r="R19" s="18">
        <f>SUBTOTAL(109,Tabell_Gris[Procentuell andel 2025*])</f>
        <v>1.0000000000000002</v>
      </c>
    </row>
    <row r="20" spans="1:18" ht="15" customHeight="1" x14ac:dyDescent="0.35">
      <c r="A20" t="s">
        <v>36</v>
      </c>
    </row>
    <row r="21" spans="1:18" ht="15" customHeight="1" x14ac:dyDescent="0.35">
      <c r="A21" t="s">
        <v>37</v>
      </c>
    </row>
    <row r="22" spans="1:18" ht="15" customHeight="1" x14ac:dyDescent="0.35">
      <c r="A22" t="s">
        <v>38</v>
      </c>
    </row>
    <row r="23" spans="1:18" ht="15" customHeight="1" x14ac:dyDescent="0.35">
      <c r="A23" t="s">
        <v>39</v>
      </c>
    </row>
    <row r="24" spans="1:18" ht="15" customHeight="1" x14ac:dyDescent="0.35"/>
    <row r="25" spans="1:18" ht="15" customHeight="1" x14ac:dyDescent="0.35"/>
    <row r="26" spans="1:18" ht="15" customHeight="1" x14ac:dyDescent="0.35"/>
    <row r="27" spans="1:18" ht="15" customHeight="1" x14ac:dyDescent="0.35"/>
    <row r="28" spans="1:18" ht="15" customHeight="1" x14ac:dyDescent="0.35"/>
    <row r="29" spans="1:18" ht="15" customHeight="1" x14ac:dyDescent="0.35"/>
    <row r="30" spans="1:18" ht="15" customHeight="1" x14ac:dyDescent="0.35"/>
    <row r="31" spans="1:18" ht="15" customHeight="1" x14ac:dyDescent="0.35"/>
    <row r="32" spans="1:18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</sheetData>
  <pageMargins left="0.70866141732283472" right="0.31496062992125984" top="0.55118110236220474" bottom="0.74803149606299213" header="0.31496062992125984" footer="0.31496062992125984"/>
  <pageSetup paperSize="9" scale="7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B4EA-A410-4DA2-8414-DEACB78D45BC}">
  <sheetPr codeName="flStorb">
    <pageSetUpPr fitToPage="1"/>
  </sheetPr>
  <dimension ref="A1:R79"/>
  <sheetViews>
    <sheetView workbookViewId="0">
      <selection activeCell="A2" sqref="A2"/>
    </sheetView>
  </sheetViews>
  <sheetFormatPr defaultColWidth="9.1796875" defaultRowHeight="14.5" x14ac:dyDescent="0.35"/>
  <cols>
    <col min="1" max="1" width="27" customWidth="1"/>
    <col min="2" max="15" width="8.26953125" customWidth="1"/>
    <col min="16" max="16" width="9.26953125" customWidth="1"/>
    <col min="17" max="17" width="10.1796875" customWidth="1"/>
    <col min="18" max="18" width="10" customWidth="1"/>
  </cols>
  <sheetData>
    <row r="1" spans="1:18" ht="92.25" customHeight="1" x14ac:dyDescent="0.35">
      <c r="A1" s="1" t="s">
        <v>40</v>
      </c>
      <c r="C1" s="1"/>
      <c r="J1" s="1"/>
      <c r="R1" s="2"/>
    </row>
    <row r="2" spans="1:18" ht="45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35">
      <c r="A3" s="9" t="s">
        <v>41</v>
      </c>
      <c r="B3" s="10">
        <v>1442</v>
      </c>
      <c r="C3" s="10">
        <v>1385</v>
      </c>
      <c r="D3" s="10">
        <v>1479</v>
      </c>
      <c r="E3" s="10">
        <v>1761</v>
      </c>
      <c r="F3" s="11">
        <v>385</v>
      </c>
      <c r="G3" s="11">
        <v>412</v>
      </c>
      <c r="H3" s="11">
        <v>352</v>
      </c>
      <c r="I3" s="11">
        <v>469</v>
      </c>
      <c r="J3" s="19">
        <v>1618</v>
      </c>
      <c r="K3" s="12">
        <v>392</v>
      </c>
      <c r="L3" s="12">
        <v>346</v>
      </c>
      <c r="M3" s="12"/>
      <c r="N3" s="12"/>
      <c r="O3" s="10">
        <v>738</v>
      </c>
      <c r="P3" s="13">
        <v>-0.16019417475728159</v>
      </c>
      <c r="Q3" s="13">
        <v>-7.4027603513174389E-2</v>
      </c>
      <c r="R3" s="14">
        <v>4.2058950919825833E-3</v>
      </c>
    </row>
    <row r="4" spans="1:18" ht="15" customHeight="1" x14ac:dyDescent="0.35">
      <c r="A4" s="9" t="s">
        <v>42</v>
      </c>
      <c r="B4" s="10">
        <v>1755</v>
      </c>
      <c r="C4" s="10">
        <v>1922</v>
      </c>
      <c r="D4" s="10">
        <v>2108</v>
      </c>
      <c r="E4" s="10">
        <v>2098</v>
      </c>
      <c r="F4" s="11">
        <v>471</v>
      </c>
      <c r="G4" s="11">
        <v>544</v>
      </c>
      <c r="H4" s="11">
        <v>497</v>
      </c>
      <c r="I4" s="11">
        <v>472</v>
      </c>
      <c r="J4" s="19">
        <v>1984</v>
      </c>
      <c r="K4" s="12">
        <v>471</v>
      </c>
      <c r="L4" s="12">
        <v>513</v>
      </c>
      <c r="M4" s="12"/>
      <c r="N4" s="12"/>
      <c r="O4" s="10">
        <v>984</v>
      </c>
      <c r="P4" s="13">
        <v>-5.6985294117647078E-2</v>
      </c>
      <c r="Q4" s="13">
        <v>-3.0541871921182295E-2</v>
      </c>
      <c r="R4" s="14">
        <v>5.607860122643445E-3</v>
      </c>
    </row>
    <row r="5" spans="1:18" ht="15" customHeight="1" x14ac:dyDescent="0.35">
      <c r="A5" s="9" t="s">
        <v>22</v>
      </c>
      <c r="B5" s="10">
        <v>17416</v>
      </c>
      <c r="C5" s="10">
        <v>16340</v>
      </c>
      <c r="D5" s="10">
        <v>16534</v>
      </c>
      <c r="E5" s="10">
        <v>19177</v>
      </c>
      <c r="F5" s="11">
        <v>4436</v>
      </c>
      <c r="G5" s="11">
        <v>4333</v>
      </c>
      <c r="H5" s="11">
        <v>4868</v>
      </c>
      <c r="I5" s="11">
        <v>5621</v>
      </c>
      <c r="J5" s="19">
        <v>19258</v>
      </c>
      <c r="K5" s="12">
        <v>4237</v>
      </c>
      <c r="L5" s="12">
        <v>4384</v>
      </c>
      <c r="M5" s="12"/>
      <c r="N5" s="12"/>
      <c r="O5" s="10">
        <v>8621</v>
      </c>
      <c r="P5" s="13">
        <v>1.1770136164320322E-2</v>
      </c>
      <c r="Q5" s="13">
        <v>-1.6877637130801704E-2</v>
      </c>
      <c r="R5" s="14">
        <v>4.9131465566371074E-2</v>
      </c>
    </row>
    <row r="6" spans="1:18" ht="15" customHeight="1" x14ac:dyDescent="0.35">
      <c r="A6" s="9" t="s">
        <v>43</v>
      </c>
      <c r="B6" s="10">
        <v>9019</v>
      </c>
      <c r="C6" s="10">
        <v>10001</v>
      </c>
      <c r="D6" s="10">
        <v>9636</v>
      </c>
      <c r="E6" s="10">
        <v>12881</v>
      </c>
      <c r="F6" s="11">
        <v>3317</v>
      </c>
      <c r="G6" s="11">
        <v>2716</v>
      </c>
      <c r="H6" s="11">
        <v>3009</v>
      </c>
      <c r="I6" s="11">
        <v>3304</v>
      </c>
      <c r="J6" s="19">
        <v>12346</v>
      </c>
      <c r="K6" s="12">
        <v>3062</v>
      </c>
      <c r="L6" s="12">
        <v>2507</v>
      </c>
      <c r="M6" s="12"/>
      <c r="N6" s="12"/>
      <c r="O6" s="10">
        <v>5569</v>
      </c>
      <c r="P6" s="13">
        <v>-7.6951399116347519E-2</v>
      </c>
      <c r="Q6" s="13">
        <v>-7.6910326537377727E-2</v>
      </c>
      <c r="R6" s="14">
        <v>3.1737980714432262E-2</v>
      </c>
    </row>
    <row r="7" spans="1:18" ht="15" customHeight="1" x14ac:dyDescent="0.35">
      <c r="A7" s="9" t="s">
        <v>44</v>
      </c>
      <c r="B7" s="10">
        <v>14795</v>
      </c>
      <c r="C7" s="10">
        <v>14349</v>
      </c>
      <c r="D7" s="10">
        <v>14578</v>
      </c>
      <c r="E7" s="10">
        <v>14573</v>
      </c>
      <c r="F7" s="11">
        <v>3236</v>
      </c>
      <c r="G7" s="11">
        <v>3104</v>
      </c>
      <c r="H7" s="11">
        <v>3387</v>
      </c>
      <c r="I7" s="11">
        <v>3658</v>
      </c>
      <c r="J7" s="19">
        <v>13385</v>
      </c>
      <c r="K7" s="12">
        <v>2405</v>
      </c>
      <c r="L7" s="12">
        <v>2153</v>
      </c>
      <c r="M7" s="12"/>
      <c r="N7" s="12"/>
      <c r="O7" s="10">
        <v>4558</v>
      </c>
      <c r="P7" s="13">
        <v>-0.30637886597938147</v>
      </c>
      <c r="Q7" s="13">
        <v>-0.28107255520504737</v>
      </c>
      <c r="R7" s="14">
        <v>2.5976246381106526E-2</v>
      </c>
    </row>
    <row r="8" spans="1:18" ht="15" customHeight="1" x14ac:dyDescent="0.35">
      <c r="A8" s="9" t="s">
        <v>45</v>
      </c>
      <c r="B8" s="10">
        <v>3479</v>
      </c>
      <c r="C8" s="10">
        <v>3488</v>
      </c>
      <c r="D8" s="10">
        <v>3566</v>
      </c>
      <c r="E8" s="10">
        <v>3267</v>
      </c>
      <c r="F8" s="11">
        <v>816</v>
      </c>
      <c r="G8" s="11">
        <v>897</v>
      </c>
      <c r="H8" s="11">
        <v>891</v>
      </c>
      <c r="I8" s="11">
        <v>908</v>
      </c>
      <c r="J8" s="19">
        <v>3512</v>
      </c>
      <c r="K8" s="12">
        <v>731</v>
      </c>
      <c r="L8" s="12">
        <v>727</v>
      </c>
      <c r="M8" s="12"/>
      <c r="N8" s="12"/>
      <c r="O8" s="10">
        <v>1458</v>
      </c>
      <c r="P8" s="13">
        <v>-0.18952062430323302</v>
      </c>
      <c r="Q8" s="13">
        <v>-0.14886164623467601</v>
      </c>
      <c r="R8" s="14">
        <v>8.3092073768436404E-3</v>
      </c>
    </row>
    <row r="9" spans="1:18" ht="15" customHeight="1" x14ac:dyDescent="0.35">
      <c r="A9" s="9" t="s">
        <v>23</v>
      </c>
      <c r="B9" s="10">
        <v>7883</v>
      </c>
      <c r="C9" s="10">
        <v>5917</v>
      </c>
      <c r="D9" s="10">
        <v>7466</v>
      </c>
      <c r="E9" s="10">
        <v>10006</v>
      </c>
      <c r="F9" s="11">
        <v>2811</v>
      </c>
      <c r="G9" s="11">
        <v>2655</v>
      </c>
      <c r="H9" s="11">
        <v>2992</v>
      </c>
      <c r="I9" s="11">
        <v>2687</v>
      </c>
      <c r="J9" s="19">
        <v>11145</v>
      </c>
      <c r="K9" s="12">
        <v>2721</v>
      </c>
      <c r="L9" s="12">
        <v>2611</v>
      </c>
      <c r="M9" s="12"/>
      <c r="N9" s="12"/>
      <c r="O9" s="10">
        <v>5332</v>
      </c>
      <c r="P9" s="13">
        <v>-1.6572504708097902E-2</v>
      </c>
      <c r="Q9" s="13">
        <v>-2.4515184778631571E-2</v>
      </c>
      <c r="R9" s="14">
        <v>3.0387307087332165E-2</v>
      </c>
    </row>
    <row r="10" spans="1:18" ht="15" customHeight="1" x14ac:dyDescent="0.35">
      <c r="A10" s="9" t="s">
        <v>46</v>
      </c>
      <c r="B10" s="10">
        <v>5242</v>
      </c>
      <c r="C10" s="10">
        <v>6125</v>
      </c>
      <c r="D10" s="10">
        <v>6078</v>
      </c>
      <c r="E10" s="10">
        <v>5993</v>
      </c>
      <c r="F10" s="11">
        <v>1779</v>
      </c>
      <c r="G10" s="11">
        <v>1638</v>
      </c>
      <c r="H10" s="11">
        <v>1875</v>
      </c>
      <c r="I10" s="11">
        <v>2471</v>
      </c>
      <c r="J10" s="19">
        <v>7763</v>
      </c>
      <c r="K10" s="12">
        <v>1598</v>
      </c>
      <c r="L10" s="12">
        <v>1447</v>
      </c>
      <c r="M10" s="12"/>
      <c r="N10" s="12"/>
      <c r="O10" s="10">
        <v>3045</v>
      </c>
      <c r="P10" s="13">
        <v>-0.11660561660561664</v>
      </c>
      <c r="Q10" s="13">
        <v>-0.10886742756804213</v>
      </c>
      <c r="R10" s="14">
        <v>1.7353591538058221E-2</v>
      </c>
    </row>
    <row r="11" spans="1:18" ht="15" customHeight="1" x14ac:dyDescent="0.35">
      <c r="A11" s="9" t="s">
        <v>24</v>
      </c>
      <c r="B11" s="10">
        <v>32514</v>
      </c>
      <c r="C11" s="10">
        <v>34764</v>
      </c>
      <c r="D11" s="10">
        <v>34837</v>
      </c>
      <c r="E11" s="10">
        <v>35543</v>
      </c>
      <c r="F11" s="11">
        <v>8661</v>
      </c>
      <c r="G11" s="11">
        <v>8063</v>
      </c>
      <c r="H11" s="11">
        <v>8878</v>
      </c>
      <c r="I11" s="11">
        <v>8429</v>
      </c>
      <c r="J11" s="19">
        <v>34031</v>
      </c>
      <c r="K11" s="12">
        <v>7251</v>
      </c>
      <c r="L11" s="12">
        <v>6773</v>
      </c>
      <c r="M11" s="12"/>
      <c r="N11" s="12"/>
      <c r="O11" s="10">
        <v>14024</v>
      </c>
      <c r="P11" s="13">
        <v>-0.15999007813468935</v>
      </c>
      <c r="Q11" s="13">
        <v>-0.16144463047117918</v>
      </c>
      <c r="R11" s="14">
        <v>7.9923404837349263E-2</v>
      </c>
    </row>
    <row r="12" spans="1:18" ht="15" customHeight="1" x14ac:dyDescent="0.35">
      <c r="A12" s="9" t="s">
        <v>25</v>
      </c>
      <c r="B12" s="10">
        <v>57394</v>
      </c>
      <c r="C12" s="10">
        <v>51303</v>
      </c>
      <c r="D12" s="10">
        <v>51489</v>
      </c>
      <c r="E12" s="10">
        <v>54678</v>
      </c>
      <c r="F12" s="11">
        <v>13598</v>
      </c>
      <c r="G12" s="11">
        <v>12792</v>
      </c>
      <c r="H12" s="11">
        <v>14421</v>
      </c>
      <c r="I12" s="11">
        <v>15453</v>
      </c>
      <c r="J12" s="19">
        <v>56264</v>
      </c>
      <c r="K12" s="12">
        <v>11015</v>
      </c>
      <c r="L12" s="12">
        <v>10830</v>
      </c>
      <c r="M12" s="12"/>
      <c r="N12" s="12"/>
      <c r="O12" s="10">
        <v>21845</v>
      </c>
      <c r="P12" s="13">
        <v>-0.15337711069418392</v>
      </c>
      <c r="Q12" s="13">
        <v>-0.17222432739674121</v>
      </c>
      <c r="R12" s="14">
        <v>0.12449563453165249</v>
      </c>
    </row>
    <row r="13" spans="1:18" ht="15" customHeight="1" x14ac:dyDescent="0.35">
      <c r="A13" s="9" t="s">
        <v>47</v>
      </c>
      <c r="B13" s="10">
        <v>50476</v>
      </c>
      <c r="C13" s="10">
        <v>43519</v>
      </c>
      <c r="D13" s="10">
        <v>45187</v>
      </c>
      <c r="E13" s="10">
        <v>49956</v>
      </c>
      <c r="F13" s="11">
        <v>12063</v>
      </c>
      <c r="G13" s="11">
        <v>12119</v>
      </c>
      <c r="H13" s="11">
        <v>13450</v>
      </c>
      <c r="I13" s="11">
        <v>14309</v>
      </c>
      <c r="J13" s="19">
        <v>51941</v>
      </c>
      <c r="K13" s="12">
        <v>11086</v>
      </c>
      <c r="L13" s="12">
        <v>10707</v>
      </c>
      <c r="M13" s="12"/>
      <c r="N13" s="12"/>
      <c r="O13" s="10">
        <v>21793</v>
      </c>
      <c r="P13" s="13">
        <v>-0.11651126330555328</v>
      </c>
      <c r="Q13" s="13">
        <v>-9.8792490282027967E-2</v>
      </c>
      <c r="R13" s="14">
        <v>0.12419928419996809</v>
      </c>
    </row>
    <row r="14" spans="1:18" ht="15" customHeight="1" x14ac:dyDescent="0.35">
      <c r="A14" s="9" t="s">
        <v>28</v>
      </c>
      <c r="B14" s="10">
        <v>5467</v>
      </c>
      <c r="C14" s="10">
        <v>5501</v>
      </c>
      <c r="D14" s="10">
        <v>5324</v>
      </c>
      <c r="E14" s="10">
        <v>5905</v>
      </c>
      <c r="F14" s="11">
        <v>1681</v>
      </c>
      <c r="G14" s="11">
        <v>1330</v>
      </c>
      <c r="H14" s="11">
        <v>1443</v>
      </c>
      <c r="I14" s="11">
        <v>1095</v>
      </c>
      <c r="J14" s="19">
        <v>5549</v>
      </c>
      <c r="K14" s="12">
        <v>684</v>
      </c>
      <c r="L14" s="12">
        <v>1099</v>
      </c>
      <c r="M14" s="12"/>
      <c r="N14" s="12"/>
      <c r="O14" s="10">
        <v>1783</v>
      </c>
      <c r="P14" s="13">
        <v>-0.17368421052631577</v>
      </c>
      <c r="Q14" s="13">
        <v>-0.40783792759880433</v>
      </c>
      <c r="R14" s="14">
        <v>1.0161396949871202E-2</v>
      </c>
    </row>
    <row r="15" spans="1:18" ht="15" customHeight="1" x14ac:dyDescent="0.35">
      <c r="A15" s="9" t="s">
        <v>48</v>
      </c>
      <c r="B15" s="10">
        <v>3376</v>
      </c>
      <c r="C15" s="10">
        <v>2735</v>
      </c>
      <c r="D15" s="10">
        <v>2690</v>
      </c>
      <c r="E15" s="10">
        <v>2660</v>
      </c>
      <c r="F15" s="11">
        <v>688</v>
      </c>
      <c r="G15" s="11">
        <v>668</v>
      </c>
      <c r="H15" s="11">
        <v>712</v>
      </c>
      <c r="I15" s="11">
        <v>755</v>
      </c>
      <c r="J15" s="19">
        <v>2823</v>
      </c>
      <c r="K15" s="12">
        <v>824</v>
      </c>
      <c r="L15" s="12">
        <v>779</v>
      </c>
      <c r="M15" s="12"/>
      <c r="N15" s="12"/>
      <c r="O15" s="10">
        <v>1603</v>
      </c>
      <c r="P15" s="13">
        <v>0.16616766467065869</v>
      </c>
      <c r="Q15" s="13">
        <v>0.18215339233038352</v>
      </c>
      <c r="R15" s="14">
        <v>9.1355688786559381E-3</v>
      </c>
    </row>
    <row r="16" spans="1:18" ht="15" customHeight="1" x14ac:dyDescent="0.35">
      <c r="A16" s="9" t="s">
        <v>49</v>
      </c>
      <c r="B16" s="10">
        <v>7398</v>
      </c>
      <c r="C16" s="10">
        <v>7598</v>
      </c>
      <c r="D16" s="10">
        <v>7371</v>
      </c>
      <c r="E16" s="10">
        <v>6808</v>
      </c>
      <c r="F16" s="11">
        <v>1793</v>
      </c>
      <c r="G16" s="11">
        <v>1546</v>
      </c>
      <c r="H16" s="11">
        <v>1683</v>
      </c>
      <c r="I16" s="11">
        <v>1858</v>
      </c>
      <c r="J16" s="19">
        <v>6880</v>
      </c>
      <c r="K16" s="12">
        <v>1493</v>
      </c>
      <c r="L16" s="12">
        <v>1334</v>
      </c>
      <c r="M16" s="12"/>
      <c r="N16" s="12"/>
      <c r="O16" s="10">
        <v>2827</v>
      </c>
      <c r="P16" s="13">
        <v>-0.13712807244501946</v>
      </c>
      <c r="Q16" s="13">
        <v>-0.15333932315064391</v>
      </c>
      <c r="R16" s="14">
        <v>1.6111199762919734E-2</v>
      </c>
    </row>
    <row r="17" spans="1:18" ht="15" customHeight="1" x14ac:dyDescent="0.35">
      <c r="A17" s="9" t="s">
        <v>50</v>
      </c>
      <c r="B17" s="10">
        <v>7178</v>
      </c>
      <c r="C17" s="10">
        <v>6761</v>
      </c>
      <c r="D17" s="10">
        <v>6898</v>
      </c>
      <c r="E17" s="10">
        <v>6931</v>
      </c>
      <c r="F17" s="11">
        <v>1786</v>
      </c>
      <c r="G17" s="11">
        <v>1366</v>
      </c>
      <c r="H17" s="11">
        <v>1810</v>
      </c>
      <c r="I17" s="11">
        <v>1713</v>
      </c>
      <c r="J17" s="19">
        <v>6675</v>
      </c>
      <c r="K17" s="12">
        <v>1370</v>
      </c>
      <c r="L17" s="12">
        <v>1250</v>
      </c>
      <c r="M17" s="12"/>
      <c r="N17" s="12"/>
      <c r="O17" s="10">
        <v>2620</v>
      </c>
      <c r="P17" s="13">
        <v>-8.4919472913616345E-2</v>
      </c>
      <c r="Q17" s="13">
        <v>-0.16878172588832485</v>
      </c>
      <c r="R17" s="14">
        <v>1.4931497481022181E-2</v>
      </c>
    </row>
    <row r="18" spans="1:18" ht="15" customHeight="1" x14ac:dyDescent="0.35">
      <c r="A18" s="9" t="s">
        <v>51</v>
      </c>
      <c r="B18" s="10">
        <v>10916</v>
      </c>
      <c r="C18" s="10">
        <v>10507</v>
      </c>
      <c r="D18" s="10">
        <v>11319</v>
      </c>
      <c r="E18" s="10">
        <v>10920</v>
      </c>
      <c r="F18" s="11">
        <v>2819</v>
      </c>
      <c r="G18" s="11">
        <v>2718</v>
      </c>
      <c r="H18" s="11">
        <v>2514</v>
      </c>
      <c r="I18" s="11">
        <v>2885</v>
      </c>
      <c r="J18" s="19">
        <v>10936</v>
      </c>
      <c r="K18" s="12">
        <v>2487</v>
      </c>
      <c r="L18" s="12">
        <v>2338</v>
      </c>
      <c r="M18" s="12"/>
      <c r="N18" s="12"/>
      <c r="O18" s="10">
        <v>4825</v>
      </c>
      <c r="P18" s="13">
        <v>-0.13980868285504044</v>
      </c>
      <c r="Q18" s="13">
        <v>-0.12858948889290234</v>
      </c>
      <c r="R18" s="14">
        <v>2.749789135340917E-2</v>
      </c>
    </row>
    <row r="19" spans="1:18" ht="15" customHeight="1" x14ac:dyDescent="0.35">
      <c r="A19" s="9" t="s">
        <v>52</v>
      </c>
      <c r="B19" s="10">
        <v>3346</v>
      </c>
      <c r="C19" s="10">
        <v>3001</v>
      </c>
      <c r="D19" s="10">
        <v>2906</v>
      </c>
      <c r="E19" s="10">
        <v>3122</v>
      </c>
      <c r="F19" s="11">
        <v>726</v>
      </c>
      <c r="G19" s="11">
        <v>757</v>
      </c>
      <c r="H19" s="11">
        <v>649</v>
      </c>
      <c r="I19" s="11">
        <v>879</v>
      </c>
      <c r="J19" s="19">
        <v>3011</v>
      </c>
      <c r="K19" s="12">
        <v>358</v>
      </c>
      <c r="L19" s="12">
        <v>448</v>
      </c>
      <c r="M19" s="12"/>
      <c r="N19" s="12"/>
      <c r="O19" s="10">
        <v>806</v>
      </c>
      <c r="P19" s="13">
        <v>-0.40819022457067367</v>
      </c>
      <c r="Q19" s="13">
        <v>-0.45650708024275122</v>
      </c>
      <c r="R19" s="14">
        <v>4.5934301411083506E-3</v>
      </c>
    </row>
    <row r="20" spans="1:18" ht="15" customHeight="1" x14ac:dyDescent="0.35">
      <c r="A20" s="9" t="s">
        <v>29</v>
      </c>
      <c r="B20" s="10">
        <v>18354</v>
      </c>
      <c r="C20" s="10">
        <v>18427</v>
      </c>
      <c r="D20" s="10">
        <v>17275</v>
      </c>
      <c r="E20" s="10">
        <v>18034</v>
      </c>
      <c r="F20" s="11">
        <v>4139</v>
      </c>
      <c r="G20" s="11">
        <v>4579</v>
      </c>
      <c r="H20" s="11">
        <v>5026</v>
      </c>
      <c r="I20" s="11">
        <v>5072</v>
      </c>
      <c r="J20" s="19">
        <v>18816</v>
      </c>
      <c r="K20" s="12">
        <v>3516</v>
      </c>
      <c r="L20" s="12">
        <v>4081</v>
      </c>
      <c r="M20" s="12"/>
      <c r="N20" s="12"/>
      <c r="O20" s="10">
        <v>7597</v>
      </c>
      <c r="P20" s="13">
        <v>-0.10875737060493562</v>
      </c>
      <c r="Q20" s="13">
        <v>-0.12858453773801326</v>
      </c>
      <c r="R20" s="14">
        <v>4.3295643650124241E-2</v>
      </c>
    </row>
    <row r="21" spans="1:18" ht="15" customHeight="1" x14ac:dyDescent="0.35">
      <c r="A21" s="9" t="s">
        <v>30</v>
      </c>
      <c r="B21" s="10">
        <v>519</v>
      </c>
      <c r="C21" s="10">
        <v>585</v>
      </c>
      <c r="D21" s="10">
        <v>585</v>
      </c>
      <c r="E21" s="10">
        <v>584</v>
      </c>
      <c r="F21" s="11">
        <v>140</v>
      </c>
      <c r="G21" s="11">
        <v>166</v>
      </c>
      <c r="H21" s="11">
        <v>165</v>
      </c>
      <c r="I21" s="11">
        <v>128</v>
      </c>
      <c r="J21" s="19">
        <v>599</v>
      </c>
      <c r="K21" s="12">
        <v>139</v>
      </c>
      <c r="L21" s="12">
        <v>142</v>
      </c>
      <c r="M21" s="12"/>
      <c r="N21" s="12"/>
      <c r="O21" s="10">
        <v>281</v>
      </c>
      <c r="P21" s="13">
        <v>-0.14457831325301207</v>
      </c>
      <c r="Q21" s="13">
        <v>-8.1699346405228801E-2</v>
      </c>
      <c r="R21" s="14">
        <v>1.6014316000638293E-3</v>
      </c>
    </row>
    <row r="22" spans="1:18" ht="15" customHeight="1" x14ac:dyDescent="0.35">
      <c r="A22" s="9" t="s">
        <v>31</v>
      </c>
      <c r="B22" s="10">
        <v>426</v>
      </c>
      <c r="C22" s="10">
        <v>419</v>
      </c>
      <c r="D22" s="10">
        <v>567</v>
      </c>
      <c r="E22" s="10">
        <v>595</v>
      </c>
      <c r="F22" s="11">
        <v>106</v>
      </c>
      <c r="G22" s="11">
        <v>116</v>
      </c>
      <c r="H22" s="11">
        <v>106</v>
      </c>
      <c r="I22" s="11">
        <v>173</v>
      </c>
      <c r="J22" s="19">
        <v>501</v>
      </c>
      <c r="K22" s="12">
        <v>101</v>
      </c>
      <c r="L22" s="12">
        <v>155</v>
      </c>
      <c r="M22" s="12"/>
      <c r="N22" s="12"/>
      <c r="O22" s="10">
        <v>256</v>
      </c>
      <c r="P22" s="13">
        <v>0.3362068965517242</v>
      </c>
      <c r="Q22" s="13">
        <v>0.15315315315315314</v>
      </c>
      <c r="R22" s="14">
        <v>1.4589554790617092E-3</v>
      </c>
    </row>
    <row r="23" spans="1:18" ht="15" customHeight="1" x14ac:dyDescent="0.35">
      <c r="A23" s="9" t="s">
        <v>53</v>
      </c>
      <c r="B23" s="10">
        <v>103198</v>
      </c>
      <c r="C23" s="10">
        <v>101310</v>
      </c>
      <c r="D23" s="10">
        <v>100650</v>
      </c>
      <c r="E23" s="10">
        <v>97327</v>
      </c>
      <c r="F23" s="11">
        <v>26179</v>
      </c>
      <c r="G23" s="11">
        <v>21785</v>
      </c>
      <c r="H23" s="11">
        <v>24319</v>
      </c>
      <c r="I23" s="11">
        <v>26260</v>
      </c>
      <c r="J23" s="19">
        <v>98543</v>
      </c>
      <c r="K23" s="12">
        <v>24067</v>
      </c>
      <c r="L23" s="12">
        <v>21858</v>
      </c>
      <c r="M23" s="12"/>
      <c r="N23" s="12"/>
      <c r="O23" s="10">
        <v>45925</v>
      </c>
      <c r="P23" s="13">
        <v>3.3509295386733307E-3</v>
      </c>
      <c r="Q23" s="13">
        <v>-4.2511049954132241E-2</v>
      </c>
      <c r="R23" s="14">
        <v>0.26172863428089455</v>
      </c>
    </row>
    <row r="24" spans="1:18" ht="15" customHeight="1" x14ac:dyDescent="0.35">
      <c r="A24" s="9" t="s">
        <v>54</v>
      </c>
      <c r="B24" s="10">
        <v>1728</v>
      </c>
      <c r="C24" s="10">
        <v>1576</v>
      </c>
      <c r="D24" s="10">
        <v>1132</v>
      </c>
      <c r="E24" s="10">
        <v>952</v>
      </c>
      <c r="F24" s="11">
        <v>214</v>
      </c>
      <c r="G24" s="11">
        <v>194</v>
      </c>
      <c r="H24" s="11">
        <v>127</v>
      </c>
      <c r="I24" s="11">
        <v>182</v>
      </c>
      <c r="J24" s="19">
        <v>717</v>
      </c>
      <c r="K24" s="12">
        <v>204</v>
      </c>
      <c r="L24" s="12">
        <v>174</v>
      </c>
      <c r="M24" s="12"/>
      <c r="N24" s="12"/>
      <c r="O24" s="10">
        <v>378</v>
      </c>
      <c r="P24" s="13">
        <v>-0.10309278350515461</v>
      </c>
      <c r="Q24" s="13">
        <v>-7.3529411764705843E-2</v>
      </c>
      <c r="R24" s="14">
        <v>2.1542389495520552E-3</v>
      </c>
    </row>
    <row r="25" spans="1:18" ht="15" customHeight="1" x14ac:dyDescent="0.35">
      <c r="A25" s="9" t="s">
        <v>33</v>
      </c>
      <c r="B25" s="10">
        <v>40598</v>
      </c>
      <c r="C25" s="10">
        <v>38141</v>
      </c>
      <c r="D25" s="10">
        <v>37583</v>
      </c>
      <c r="E25" s="10">
        <v>36685</v>
      </c>
      <c r="F25" s="11">
        <v>8803</v>
      </c>
      <c r="G25" s="11">
        <v>8812</v>
      </c>
      <c r="H25" s="11">
        <v>9167</v>
      </c>
      <c r="I25" s="11">
        <v>9672</v>
      </c>
      <c r="J25" s="19">
        <v>36454</v>
      </c>
      <c r="K25" s="12">
        <v>6315</v>
      </c>
      <c r="L25" s="12">
        <v>7545</v>
      </c>
      <c r="M25" s="12"/>
      <c r="N25" s="12"/>
      <c r="O25" s="10">
        <v>13860</v>
      </c>
      <c r="P25" s="13">
        <v>-0.14378120744439404</v>
      </c>
      <c r="Q25" s="13">
        <v>-0.21317059324439402</v>
      </c>
      <c r="R25" s="14">
        <v>7.8988761483575351E-2</v>
      </c>
    </row>
    <row r="26" spans="1:18" ht="15" customHeight="1" x14ac:dyDescent="0.35">
      <c r="A26" s="9" t="s">
        <v>55</v>
      </c>
      <c r="B26" s="10">
        <v>5335</v>
      </c>
      <c r="C26" s="10">
        <v>4513</v>
      </c>
      <c r="D26" s="10">
        <v>4422</v>
      </c>
      <c r="E26" s="10">
        <v>1154</v>
      </c>
      <c r="F26" s="11">
        <v>46</v>
      </c>
      <c r="G26" s="11">
        <v>37</v>
      </c>
      <c r="H26" s="11">
        <v>20</v>
      </c>
      <c r="I26" s="11">
        <v>536</v>
      </c>
      <c r="J26" s="19">
        <v>639</v>
      </c>
      <c r="K26" s="12">
        <v>590</v>
      </c>
      <c r="L26" s="12">
        <v>403</v>
      </c>
      <c r="M26" s="12"/>
      <c r="N26" s="12"/>
      <c r="O26" s="10">
        <v>993</v>
      </c>
      <c r="P26" s="13">
        <v>9.8918918918918912</v>
      </c>
      <c r="Q26" s="13">
        <v>10.963855421686747</v>
      </c>
      <c r="R26" s="14">
        <v>5.6591515262042081E-3</v>
      </c>
    </row>
    <row r="27" spans="1:18" ht="15" customHeight="1" x14ac:dyDescent="0.35">
      <c r="A27" s="9" t="s">
        <v>56</v>
      </c>
      <c r="B27" s="10">
        <v>1179</v>
      </c>
      <c r="C27" s="10">
        <v>1139</v>
      </c>
      <c r="D27" s="10">
        <v>962</v>
      </c>
      <c r="E27" s="10">
        <v>958</v>
      </c>
      <c r="F27" s="11">
        <v>192</v>
      </c>
      <c r="G27" s="11">
        <v>276</v>
      </c>
      <c r="H27" s="11">
        <v>185</v>
      </c>
      <c r="I27" s="11">
        <v>300</v>
      </c>
      <c r="J27" s="19">
        <v>953</v>
      </c>
      <c r="K27" s="12">
        <v>194</v>
      </c>
      <c r="L27" s="12">
        <v>204</v>
      </c>
      <c r="M27" s="12"/>
      <c r="N27" s="12"/>
      <c r="O27" s="10">
        <v>398</v>
      </c>
      <c r="P27" s="13">
        <v>-0.26086956521739135</v>
      </c>
      <c r="Q27" s="13">
        <v>-0.1495726495726496</v>
      </c>
      <c r="R27" s="14">
        <v>2.2682198463537511E-3</v>
      </c>
    </row>
    <row r="28" spans="1:18" ht="15" customHeight="1" x14ac:dyDescent="0.35">
      <c r="A28" s="9" t="s">
        <v>34</v>
      </c>
      <c r="B28" s="10">
        <v>9765</v>
      </c>
      <c r="C28" s="10">
        <v>8636</v>
      </c>
      <c r="D28" s="10">
        <v>7574</v>
      </c>
      <c r="E28" s="10">
        <v>7235</v>
      </c>
      <c r="F28" s="11">
        <v>1916</v>
      </c>
      <c r="G28" s="11">
        <v>1846</v>
      </c>
      <c r="H28" s="11">
        <v>1825</v>
      </c>
      <c r="I28" s="11">
        <v>2279</v>
      </c>
      <c r="J28" s="19">
        <v>7866</v>
      </c>
      <c r="K28" s="12">
        <v>1648</v>
      </c>
      <c r="L28" s="12">
        <v>1701</v>
      </c>
      <c r="M28" s="12"/>
      <c r="N28" s="12"/>
      <c r="O28" s="10">
        <v>3349</v>
      </c>
      <c r="P28" s="13">
        <v>-7.8548212351029267E-2</v>
      </c>
      <c r="Q28" s="13">
        <v>-0.10978203083466243</v>
      </c>
      <c r="R28" s="14">
        <v>1.9086101169444002E-2</v>
      </c>
    </row>
    <row r="29" spans="1:18" ht="15" customHeight="1" x14ac:dyDescent="0.35">
      <c r="A29" t="s">
        <v>35</v>
      </c>
      <c r="B29" s="16">
        <f>SUBTOTAL(109,Tabell_Storb[2020])</f>
        <v>420198</v>
      </c>
      <c r="C29" s="16">
        <f>SUBTOTAL(109,Tabell_Storb[2021])</f>
        <v>399962</v>
      </c>
      <c r="D29" s="16">
        <f>SUBTOTAL(109,Tabell_Storb[2022])</f>
        <v>400216</v>
      </c>
      <c r="E29" s="16">
        <f>SUBTOTAL(109,Tabell_Storb[2023])</f>
        <v>409803</v>
      </c>
      <c r="F29" s="16">
        <f>SUBTOTAL(109,Tabell_Storb[Kvartal 1 2024])</f>
        <v>102801</v>
      </c>
      <c r="G29" s="16">
        <f>SUBTOTAL(109,Tabell_Storb[Kvartal 2 2024])</f>
        <v>95469</v>
      </c>
      <c r="H29" s="16">
        <f>SUBTOTAL(109,Tabell_Storb[Kvartal 3 2024])</f>
        <v>104371</v>
      </c>
      <c r="I29" s="16">
        <f>SUBTOTAL(109,Tabell_Storb[Kvartal 4 2024])</f>
        <v>111568</v>
      </c>
      <c r="J29" s="16">
        <f>SUBTOTAL(109,Tabell_Storb[2024])</f>
        <v>414209</v>
      </c>
      <c r="K29" s="16">
        <f>SUBTOTAL(109,Tabell_Storb[Kvartal 1 2025])</f>
        <v>88959</v>
      </c>
      <c r="L29" s="16">
        <f>SUBTOTAL(109,Tabell_Storb[Kvartal 2 2025])</f>
        <v>86509</v>
      </c>
      <c r="M29" s="16">
        <f>SUBTOTAL(109,Tabell_Storb[Kvartal 3 2025])</f>
        <v>0</v>
      </c>
      <c r="N29" s="16">
        <f>SUBTOTAL(109,Tabell_Storb[Kvartal 4 2025])</f>
        <v>0</v>
      </c>
      <c r="O29" s="16">
        <f>SUBTOTAL(109,Tabell_Storb[2025])</f>
        <v>175468</v>
      </c>
      <c r="P29" s="17">
        <f>L29/G29-1</f>
        <v>-9.3852454723522771E-2</v>
      </c>
      <c r="Q29" s="17">
        <f>O29/SUM(F29:G29)-1</f>
        <v>-0.11500479144600795</v>
      </c>
      <c r="R29" s="18">
        <f>SUBTOTAL(109,Tabell_Storb[Procentuell andel 2025*])</f>
        <v>1.0000000000000002</v>
      </c>
    </row>
    <row r="30" spans="1:18" ht="15" customHeight="1" x14ac:dyDescent="0.35">
      <c r="A30" t="s">
        <v>57</v>
      </c>
    </row>
    <row r="31" spans="1:18" ht="15" customHeight="1" x14ac:dyDescent="0.35">
      <c r="A31" t="s">
        <v>37</v>
      </c>
    </row>
    <row r="32" spans="1:18" ht="15" customHeight="1" x14ac:dyDescent="0.35">
      <c r="A32" t="s">
        <v>58</v>
      </c>
    </row>
    <row r="33" spans="1:1" ht="15" customHeight="1" x14ac:dyDescent="0.35">
      <c r="A33" t="s">
        <v>39</v>
      </c>
    </row>
    <row r="34" spans="1:1" ht="15" customHeight="1" x14ac:dyDescent="0.35"/>
    <row r="35" spans="1:1" ht="15" customHeight="1" x14ac:dyDescent="0.35"/>
    <row r="36" spans="1:1" ht="15" customHeight="1" x14ac:dyDescent="0.35"/>
    <row r="37" spans="1:1" ht="15" customHeight="1" x14ac:dyDescent="0.35"/>
    <row r="38" spans="1:1" ht="15" customHeight="1" x14ac:dyDescent="0.35"/>
    <row r="39" spans="1:1" ht="15" customHeight="1" x14ac:dyDescent="0.35"/>
    <row r="40" spans="1:1" ht="15" customHeight="1" x14ac:dyDescent="0.35"/>
    <row r="41" spans="1:1" ht="15" customHeight="1" x14ac:dyDescent="0.35"/>
    <row r="42" spans="1:1" ht="15" customHeight="1" x14ac:dyDescent="0.35"/>
    <row r="43" spans="1:1" ht="15" customHeight="1" x14ac:dyDescent="0.35"/>
    <row r="44" spans="1:1" ht="15" customHeight="1" x14ac:dyDescent="0.35"/>
    <row r="45" spans="1:1" ht="15" customHeight="1" x14ac:dyDescent="0.35"/>
    <row r="46" spans="1:1" ht="15" customHeight="1" x14ac:dyDescent="0.35"/>
    <row r="47" spans="1:1" ht="15" customHeight="1" x14ac:dyDescent="0.35"/>
    <row r="48" spans="1:1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</sheetData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C04B-E06D-4A5B-AC86-AD7137C3DCBB}">
  <sheetPr codeName="flKalv">
    <pageSetUpPr fitToPage="1"/>
  </sheetPr>
  <dimension ref="A1:W69"/>
  <sheetViews>
    <sheetView workbookViewId="0">
      <selection activeCell="A2" sqref="A2"/>
    </sheetView>
  </sheetViews>
  <sheetFormatPr defaultColWidth="9.1796875" defaultRowHeight="14.5" x14ac:dyDescent="0.35"/>
  <cols>
    <col min="1" max="1" width="27" customWidth="1"/>
    <col min="2" max="15" width="8.26953125" customWidth="1"/>
    <col min="16" max="16" width="9.26953125" customWidth="1"/>
    <col min="17" max="17" width="10.1796875" customWidth="1"/>
    <col min="18" max="18" width="10" customWidth="1"/>
  </cols>
  <sheetData>
    <row r="1" spans="1:23" ht="92.25" customHeight="1" x14ac:dyDescent="0.35">
      <c r="A1" s="1" t="s">
        <v>59</v>
      </c>
      <c r="C1" s="1"/>
      <c r="J1" s="1"/>
      <c r="R1" s="2"/>
    </row>
    <row r="2" spans="1:23" ht="45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23" ht="15" customHeight="1" x14ac:dyDescent="0.35">
      <c r="A3" s="9" t="s">
        <v>41</v>
      </c>
      <c r="B3" s="10">
        <v>109</v>
      </c>
      <c r="C3" s="10">
        <v>102</v>
      </c>
      <c r="D3" s="10">
        <v>105</v>
      </c>
      <c r="E3" s="10">
        <v>117</v>
      </c>
      <c r="F3" s="11">
        <v>32</v>
      </c>
      <c r="G3" s="11">
        <v>26</v>
      </c>
      <c r="H3" s="11">
        <v>28</v>
      </c>
      <c r="I3" s="11">
        <v>25</v>
      </c>
      <c r="J3" s="10">
        <v>111</v>
      </c>
      <c r="K3" s="12">
        <v>19</v>
      </c>
      <c r="L3" s="12">
        <v>20</v>
      </c>
      <c r="M3" s="20"/>
      <c r="N3" s="20"/>
      <c r="O3" s="10">
        <v>39</v>
      </c>
      <c r="P3" s="21">
        <v>-0.23076923076923073</v>
      </c>
      <c r="Q3" s="13">
        <v>-0.32758620689655171</v>
      </c>
      <c r="R3" s="14">
        <v>9.6486887679366647E-3</v>
      </c>
      <c r="U3" s="22" t="s">
        <v>60</v>
      </c>
    </row>
    <row r="4" spans="1:23" ht="15" customHeight="1" x14ac:dyDescent="0.35">
      <c r="A4" s="9" t="s">
        <v>61</v>
      </c>
      <c r="B4" s="10">
        <v>19</v>
      </c>
      <c r="C4" s="10">
        <v>62</v>
      </c>
      <c r="D4" s="10">
        <v>58</v>
      </c>
      <c r="E4" s="10">
        <v>59</v>
      </c>
      <c r="F4" s="11">
        <v>20</v>
      </c>
      <c r="G4" s="11">
        <v>14</v>
      </c>
      <c r="H4" s="11">
        <v>13</v>
      </c>
      <c r="I4" s="11">
        <v>14</v>
      </c>
      <c r="J4" s="10">
        <v>61</v>
      </c>
      <c r="K4" s="12">
        <v>16</v>
      </c>
      <c r="L4" s="12">
        <v>9</v>
      </c>
      <c r="M4" s="20"/>
      <c r="N4" s="20"/>
      <c r="O4" s="10">
        <v>25</v>
      </c>
      <c r="P4" s="21">
        <v>-0.3571428571428571</v>
      </c>
      <c r="Q4" s="13">
        <v>-0.26470588235294112</v>
      </c>
      <c r="R4" s="14">
        <v>6.1850569025235034E-3</v>
      </c>
    </row>
    <row r="5" spans="1:23" ht="15" customHeight="1" x14ac:dyDescent="0.35">
      <c r="A5" s="9" t="s">
        <v>62</v>
      </c>
      <c r="B5" s="10">
        <v>82</v>
      </c>
      <c r="C5" s="10">
        <v>100</v>
      </c>
      <c r="D5" s="10">
        <v>130</v>
      </c>
      <c r="E5" s="10">
        <v>135</v>
      </c>
      <c r="F5" s="11">
        <v>32</v>
      </c>
      <c r="G5" s="11">
        <v>31</v>
      </c>
      <c r="H5" s="11">
        <v>20</v>
      </c>
      <c r="I5" s="11">
        <v>36</v>
      </c>
      <c r="J5" s="10">
        <v>119</v>
      </c>
      <c r="K5" s="12">
        <v>33</v>
      </c>
      <c r="L5" s="12">
        <v>50</v>
      </c>
      <c r="M5" s="20"/>
      <c r="N5" s="20"/>
      <c r="O5" s="10">
        <v>83</v>
      </c>
      <c r="P5" s="21">
        <v>0.61290322580645151</v>
      </c>
      <c r="Q5" s="13">
        <v>0.31746031746031744</v>
      </c>
      <c r="R5" s="14">
        <v>2.053438891637803E-2</v>
      </c>
    </row>
    <row r="6" spans="1:23" ht="15" customHeight="1" x14ac:dyDescent="0.35">
      <c r="A6" s="9" t="s">
        <v>22</v>
      </c>
      <c r="B6" s="10">
        <v>280</v>
      </c>
      <c r="C6" s="10">
        <v>245</v>
      </c>
      <c r="D6" s="10">
        <v>230</v>
      </c>
      <c r="E6" s="10">
        <v>209</v>
      </c>
      <c r="F6" s="11">
        <v>56</v>
      </c>
      <c r="G6" s="11">
        <v>58</v>
      </c>
      <c r="H6" s="11">
        <v>93</v>
      </c>
      <c r="I6" s="11">
        <v>112</v>
      </c>
      <c r="J6" s="10">
        <v>319</v>
      </c>
      <c r="K6" s="12">
        <v>57</v>
      </c>
      <c r="L6" s="12">
        <v>39</v>
      </c>
      <c r="M6" s="20"/>
      <c r="N6" s="20"/>
      <c r="O6" s="10">
        <v>96</v>
      </c>
      <c r="P6" s="21">
        <v>-0.32758620689655171</v>
      </c>
      <c r="Q6" s="13">
        <v>-0.15789473684210531</v>
      </c>
      <c r="R6" s="14">
        <v>2.3750618505690251E-2</v>
      </c>
      <c r="W6" s="22" t="s">
        <v>63</v>
      </c>
    </row>
    <row r="7" spans="1:23" ht="15" customHeight="1" x14ac:dyDescent="0.35">
      <c r="A7" s="9" t="s">
        <v>43</v>
      </c>
      <c r="B7" s="10">
        <v>294</v>
      </c>
      <c r="C7" s="10">
        <v>319</v>
      </c>
      <c r="D7" s="10">
        <v>328</v>
      </c>
      <c r="E7" s="10">
        <v>401</v>
      </c>
      <c r="F7" s="11">
        <v>114</v>
      </c>
      <c r="G7" s="11">
        <v>57</v>
      </c>
      <c r="H7" s="11">
        <v>66</v>
      </c>
      <c r="I7" s="11">
        <v>139</v>
      </c>
      <c r="J7" s="10">
        <v>376</v>
      </c>
      <c r="K7" s="12">
        <v>125</v>
      </c>
      <c r="L7" s="12">
        <v>146</v>
      </c>
      <c r="M7" s="20"/>
      <c r="N7" s="20"/>
      <c r="O7" s="10">
        <v>271</v>
      </c>
      <c r="P7" s="21">
        <v>1.5614035087719298</v>
      </c>
      <c r="Q7" s="13">
        <v>0.58479532163742687</v>
      </c>
      <c r="R7" s="14">
        <v>6.7046016823354773E-2</v>
      </c>
    </row>
    <row r="8" spans="1:23" ht="15" customHeight="1" x14ac:dyDescent="0.35">
      <c r="A8" s="9" t="s">
        <v>44</v>
      </c>
      <c r="B8" s="10">
        <v>247</v>
      </c>
      <c r="C8" s="10">
        <v>169</v>
      </c>
      <c r="D8" s="10">
        <v>95</v>
      </c>
      <c r="E8" s="10">
        <v>512</v>
      </c>
      <c r="F8" s="11">
        <v>427</v>
      </c>
      <c r="G8" s="11">
        <v>339</v>
      </c>
      <c r="H8" s="11">
        <v>42</v>
      </c>
      <c r="I8" s="11">
        <v>485</v>
      </c>
      <c r="J8" s="10">
        <v>1293</v>
      </c>
      <c r="K8" s="12">
        <v>960</v>
      </c>
      <c r="L8" s="12">
        <v>970</v>
      </c>
      <c r="M8" s="20"/>
      <c r="N8" s="20"/>
      <c r="O8" s="10">
        <v>1930</v>
      </c>
      <c r="P8" s="21">
        <v>1.8613569321533925</v>
      </c>
      <c r="Q8" s="13">
        <v>1.5195822454308092</v>
      </c>
      <c r="R8" s="14">
        <v>0.47748639287481442</v>
      </c>
    </row>
    <row r="9" spans="1:23" ht="15" customHeight="1" x14ac:dyDescent="0.35">
      <c r="A9" s="9" t="s">
        <v>45</v>
      </c>
      <c r="B9" s="10">
        <v>598</v>
      </c>
      <c r="C9" s="10">
        <v>559</v>
      </c>
      <c r="D9" s="10">
        <v>638</v>
      </c>
      <c r="E9" s="10">
        <v>610</v>
      </c>
      <c r="F9" s="11">
        <v>197</v>
      </c>
      <c r="G9" s="11">
        <v>205</v>
      </c>
      <c r="H9" s="11">
        <v>154</v>
      </c>
      <c r="I9" s="11">
        <v>148</v>
      </c>
      <c r="J9" s="10">
        <v>704</v>
      </c>
      <c r="K9" s="12">
        <v>207</v>
      </c>
      <c r="L9" s="12">
        <v>180</v>
      </c>
      <c r="M9" s="20"/>
      <c r="N9" s="20"/>
      <c r="O9" s="10">
        <v>387</v>
      </c>
      <c r="P9" s="21">
        <v>-0.12195121951219512</v>
      </c>
      <c r="Q9" s="13">
        <v>-3.7313432835820892E-2</v>
      </c>
      <c r="R9" s="14">
        <v>9.5744680851063829E-2</v>
      </c>
    </row>
    <row r="10" spans="1:23" ht="15" customHeight="1" x14ac:dyDescent="0.35">
      <c r="A10" s="9" t="s">
        <v>23</v>
      </c>
      <c r="B10" s="10">
        <v>34</v>
      </c>
      <c r="C10" s="10">
        <v>28</v>
      </c>
      <c r="D10" s="10">
        <v>31</v>
      </c>
      <c r="E10" s="10">
        <v>15</v>
      </c>
      <c r="F10" s="11">
        <v>11</v>
      </c>
      <c r="G10" s="11">
        <v>11</v>
      </c>
      <c r="H10" s="11">
        <v>5</v>
      </c>
      <c r="I10" s="11">
        <v>17</v>
      </c>
      <c r="J10" s="10">
        <v>44</v>
      </c>
      <c r="K10" s="12">
        <v>8</v>
      </c>
      <c r="L10" s="12">
        <v>6</v>
      </c>
      <c r="M10" s="20"/>
      <c r="N10" s="20"/>
      <c r="O10" s="10">
        <v>14</v>
      </c>
      <c r="P10" s="21">
        <v>-0.45454545454545459</v>
      </c>
      <c r="Q10" s="13">
        <v>-0.36363636363636365</v>
      </c>
      <c r="R10" s="14">
        <v>3.4636318654131617E-3</v>
      </c>
    </row>
    <row r="11" spans="1:23" ht="15" customHeight="1" x14ac:dyDescent="0.35">
      <c r="A11" s="9" t="s">
        <v>46</v>
      </c>
      <c r="B11" s="10">
        <v>61</v>
      </c>
      <c r="C11" s="10">
        <v>43</v>
      </c>
      <c r="D11" s="10">
        <v>12</v>
      </c>
      <c r="E11" s="10">
        <v>86</v>
      </c>
      <c r="F11" s="11">
        <v>23</v>
      </c>
      <c r="G11" s="11">
        <v>10</v>
      </c>
      <c r="H11" s="11">
        <v>8</v>
      </c>
      <c r="I11" s="11">
        <v>29</v>
      </c>
      <c r="J11" s="10">
        <v>70</v>
      </c>
      <c r="K11" s="12">
        <v>28</v>
      </c>
      <c r="L11" s="12">
        <v>5</v>
      </c>
      <c r="M11" s="20"/>
      <c r="N11" s="20"/>
      <c r="O11" s="10">
        <v>33</v>
      </c>
      <c r="P11" s="21">
        <v>-0.5</v>
      </c>
      <c r="Q11" s="13">
        <v>0</v>
      </c>
      <c r="R11" s="14">
        <v>8.1642751113310246E-3</v>
      </c>
    </row>
    <row r="12" spans="1:23" ht="15" customHeight="1" x14ac:dyDescent="0.35">
      <c r="A12" s="9" t="s">
        <v>24</v>
      </c>
      <c r="B12" s="10">
        <v>844</v>
      </c>
      <c r="C12" s="10">
        <v>110</v>
      </c>
      <c r="D12" s="10">
        <v>103</v>
      </c>
      <c r="E12" s="10">
        <v>80</v>
      </c>
      <c r="F12" s="11">
        <v>4</v>
      </c>
      <c r="G12" s="11">
        <v>12</v>
      </c>
      <c r="H12" s="11">
        <v>11</v>
      </c>
      <c r="I12" s="11">
        <v>32</v>
      </c>
      <c r="J12" s="10">
        <v>59</v>
      </c>
      <c r="K12" s="12">
        <v>13</v>
      </c>
      <c r="L12" s="12">
        <v>26</v>
      </c>
      <c r="M12" s="20"/>
      <c r="N12" s="20"/>
      <c r="O12" s="10">
        <v>39</v>
      </c>
      <c r="P12" s="21">
        <v>1.1666666666666665</v>
      </c>
      <c r="Q12" s="13">
        <v>1.4375</v>
      </c>
      <c r="R12" s="14">
        <v>9.6486887679366647E-3</v>
      </c>
    </row>
    <row r="13" spans="1:23" ht="15" customHeight="1" x14ac:dyDescent="0.35">
      <c r="A13" s="9" t="s">
        <v>47</v>
      </c>
      <c r="B13" s="10">
        <v>1481</v>
      </c>
      <c r="C13" s="10">
        <v>241</v>
      </c>
      <c r="D13" s="10">
        <v>386</v>
      </c>
      <c r="E13" s="10">
        <v>1182</v>
      </c>
      <c r="F13" s="11">
        <v>355</v>
      </c>
      <c r="G13" s="11">
        <v>325</v>
      </c>
      <c r="H13" s="11">
        <v>202</v>
      </c>
      <c r="I13" s="11">
        <v>87</v>
      </c>
      <c r="J13" s="10">
        <v>969</v>
      </c>
      <c r="K13" s="12">
        <v>93</v>
      </c>
      <c r="L13" s="12">
        <v>58</v>
      </c>
      <c r="M13" s="20"/>
      <c r="N13" s="20"/>
      <c r="O13" s="10">
        <v>151</v>
      </c>
      <c r="P13" s="21">
        <v>-0.82153846153846155</v>
      </c>
      <c r="Q13" s="13">
        <v>-0.77794117647058825</v>
      </c>
      <c r="R13" s="14">
        <v>3.7357743691241958E-2</v>
      </c>
    </row>
    <row r="14" spans="1:23" ht="15" customHeight="1" x14ac:dyDescent="0.35">
      <c r="A14" s="9" t="s">
        <v>64</v>
      </c>
      <c r="B14" s="10">
        <v>8</v>
      </c>
      <c r="C14" s="10">
        <v>25</v>
      </c>
      <c r="D14" s="10">
        <v>21</v>
      </c>
      <c r="E14" s="10">
        <v>10</v>
      </c>
      <c r="F14" s="11">
        <v>2</v>
      </c>
      <c r="G14" s="11"/>
      <c r="H14" s="11"/>
      <c r="I14" s="11">
        <v>8</v>
      </c>
      <c r="J14" s="10">
        <v>10</v>
      </c>
      <c r="K14" s="12">
        <v>7</v>
      </c>
      <c r="L14" s="12"/>
      <c r="M14" s="20"/>
      <c r="N14" s="20"/>
      <c r="O14" s="10">
        <v>7</v>
      </c>
      <c r="P14" s="21" t="s">
        <v>65</v>
      </c>
      <c r="Q14" s="13">
        <v>2.5</v>
      </c>
      <c r="R14" s="14">
        <v>1.7318159327065809E-3</v>
      </c>
    </row>
    <row r="15" spans="1:23" ht="15" customHeight="1" x14ac:dyDescent="0.35">
      <c r="A15" s="9" t="s">
        <v>49</v>
      </c>
      <c r="B15" s="10">
        <v>64</v>
      </c>
      <c r="C15" s="10">
        <v>73</v>
      </c>
      <c r="D15" s="10">
        <v>72</v>
      </c>
      <c r="E15" s="10">
        <v>111</v>
      </c>
      <c r="F15" s="11">
        <v>60</v>
      </c>
      <c r="G15" s="11">
        <v>27</v>
      </c>
      <c r="H15" s="11">
        <v>11</v>
      </c>
      <c r="I15" s="11">
        <v>19</v>
      </c>
      <c r="J15" s="10">
        <v>117</v>
      </c>
      <c r="K15" s="12">
        <v>6</v>
      </c>
      <c r="L15" s="12">
        <v>10</v>
      </c>
      <c r="M15" s="20"/>
      <c r="N15" s="20"/>
      <c r="O15" s="10">
        <v>16</v>
      </c>
      <c r="P15" s="21">
        <v>-0.62962962962962965</v>
      </c>
      <c r="Q15" s="13">
        <v>-0.81609195402298851</v>
      </c>
      <c r="R15" s="14">
        <v>3.9584364176150424E-3</v>
      </c>
    </row>
    <row r="16" spans="1:23" ht="15" customHeight="1" x14ac:dyDescent="0.35">
      <c r="A16" s="9" t="s">
        <v>50</v>
      </c>
      <c r="B16" s="10">
        <v>92</v>
      </c>
      <c r="C16" s="10">
        <v>74</v>
      </c>
      <c r="D16" s="10">
        <v>163</v>
      </c>
      <c r="E16" s="10">
        <v>246</v>
      </c>
      <c r="F16" s="11">
        <v>56</v>
      </c>
      <c r="G16" s="11">
        <v>42</v>
      </c>
      <c r="H16" s="11">
        <v>9</v>
      </c>
      <c r="I16" s="11">
        <v>31</v>
      </c>
      <c r="J16" s="10">
        <v>138</v>
      </c>
      <c r="K16" s="12">
        <v>21</v>
      </c>
      <c r="L16" s="12">
        <v>12</v>
      </c>
      <c r="M16" s="20"/>
      <c r="N16" s="20"/>
      <c r="O16" s="10">
        <v>33</v>
      </c>
      <c r="P16" s="21">
        <v>-0.7142857142857143</v>
      </c>
      <c r="Q16" s="13">
        <v>-0.66326530612244894</v>
      </c>
      <c r="R16" s="14">
        <v>8.1642751113310246E-3</v>
      </c>
    </row>
    <row r="17" spans="1:18" ht="15" customHeight="1" x14ac:dyDescent="0.35">
      <c r="A17" s="9" t="s">
        <v>51</v>
      </c>
      <c r="B17" s="10">
        <v>580</v>
      </c>
      <c r="C17" s="10">
        <v>589</v>
      </c>
      <c r="D17" s="10">
        <v>509</v>
      </c>
      <c r="E17" s="10">
        <v>593</v>
      </c>
      <c r="F17" s="11">
        <v>184</v>
      </c>
      <c r="G17" s="11">
        <v>112</v>
      </c>
      <c r="H17" s="11">
        <v>83</v>
      </c>
      <c r="I17" s="11">
        <v>204</v>
      </c>
      <c r="J17" s="10">
        <v>583</v>
      </c>
      <c r="K17" s="12">
        <v>150</v>
      </c>
      <c r="L17" s="12">
        <v>106</v>
      </c>
      <c r="M17" s="20"/>
      <c r="N17" s="20"/>
      <c r="O17" s="10">
        <v>256</v>
      </c>
      <c r="P17" s="21">
        <v>-5.3571428571428603E-2</v>
      </c>
      <c r="Q17" s="13">
        <v>-0.13513513513513509</v>
      </c>
      <c r="R17" s="14">
        <v>6.3334982681840679E-2</v>
      </c>
    </row>
    <row r="18" spans="1:18" ht="15" customHeight="1" x14ac:dyDescent="0.35">
      <c r="A18" s="9" t="s">
        <v>30</v>
      </c>
      <c r="B18" s="10">
        <v>48</v>
      </c>
      <c r="C18" s="10">
        <v>32</v>
      </c>
      <c r="D18" s="10">
        <v>23</v>
      </c>
      <c r="E18" s="10">
        <v>38</v>
      </c>
      <c r="F18" s="11">
        <v>8</v>
      </c>
      <c r="G18" s="11">
        <v>8</v>
      </c>
      <c r="H18" s="11">
        <v>3</v>
      </c>
      <c r="I18" s="11">
        <v>5</v>
      </c>
      <c r="J18" s="10">
        <v>24</v>
      </c>
      <c r="K18" s="12">
        <v>2</v>
      </c>
      <c r="L18" s="12">
        <v>14</v>
      </c>
      <c r="M18" s="20"/>
      <c r="N18" s="20"/>
      <c r="O18" s="10">
        <v>16</v>
      </c>
      <c r="P18" s="21">
        <v>0.75</v>
      </c>
      <c r="Q18" s="13">
        <v>0</v>
      </c>
      <c r="R18" s="14">
        <v>3.9584364176150424E-3</v>
      </c>
    </row>
    <row r="19" spans="1:18" ht="15" customHeight="1" x14ac:dyDescent="0.35">
      <c r="A19" s="9" t="s">
        <v>31</v>
      </c>
      <c r="B19" s="10">
        <v>43</v>
      </c>
      <c r="C19" s="10">
        <v>17</v>
      </c>
      <c r="D19" s="10">
        <v>42</v>
      </c>
      <c r="E19" s="10">
        <v>90</v>
      </c>
      <c r="F19" s="11">
        <v>24</v>
      </c>
      <c r="G19" s="11">
        <v>11</v>
      </c>
      <c r="H19" s="11">
        <v>12</v>
      </c>
      <c r="I19" s="11">
        <v>24</v>
      </c>
      <c r="J19" s="10">
        <v>71</v>
      </c>
      <c r="K19" s="12">
        <v>10</v>
      </c>
      <c r="L19" s="12">
        <v>8</v>
      </c>
      <c r="M19" s="20"/>
      <c r="N19" s="20"/>
      <c r="O19" s="10">
        <v>18</v>
      </c>
      <c r="P19" s="21">
        <v>-0.27272727272727271</v>
      </c>
      <c r="Q19" s="13">
        <v>-0.48571428571428577</v>
      </c>
      <c r="R19" s="14">
        <v>4.4532409698169219E-3</v>
      </c>
    </row>
    <row r="20" spans="1:18" ht="15" customHeight="1" x14ac:dyDescent="0.35">
      <c r="A20" s="9" t="s">
        <v>53</v>
      </c>
      <c r="B20" s="10">
        <v>5351</v>
      </c>
      <c r="C20" s="10">
        <v>5830</v>
      </c>
      <c r="D20" s="10">
        <v>6103</v>
      </c>
      <c r="E20" s="10">
        <v>5472</v>
      </c>
      <c r="F20" s="11">
        <v>985</v>
      </c>
      <c r="G20" s="11">
        <v>1062</v>
      </c>
      <c r="H20" s="11">
        <v>1351</v>
      </c>
      <c r="I20" s="11">
        <v>503</v>
      </c>
      <c r="J20" s="10">
        <v>3901</v>
      </c>
      <c r="K20" s="12">
        <v>2</v>
      </c>
      <c r="L20" s="12">
        <v>10</v>
      </c>
      <c r="M20" s="20"/>
      <c r="N20" s="20"/>
      <c r="O20" s="10">
        <v>12</v>
      </c>
      <c r="P20" s="21">
        <v>-0.99058380414312619</v>
      </c>
      <c r="Q20" s="13">
        <v>-0.99413776257938447</v>
      </c>
      <c r="R20" s="14">
        <v>2.9688273132112814E-3</v>
      </c>
    </row>
    <row r="21" spans="1:18" ht="15" customHeight="1" x14ac:dyDescent="0.35">
      <c r="A21" s="9" t="s">
        <v>33</v>
      </c>
      <c r="B21" s="10">
        <v>1806</v>
      </c>
      <c r="C21" s="10">
        <v>1877</v>
      </c>
      <c r="D21" s="10">
        <v>1312</v>
      </c>
      <c r="E21" s="10">
        <v>101</v>
      </c>
      <c r="F21" s="11">
        <v>9</v>
      </c>
      <c r="G21" s="11">
        <v>21</v>
      </c>
      <c r="H21" s="11">
        <v>58</v>
      </c>
      <c r="I21" s="11">
        <v>214</v>
      </c>
      <c r="J21" s="10">
        <v>302</v>
      </c>
      <c r="K21" s="12">
        <v>193</v>
      </c>
      <c r="L21" s="12">
        <v>197</v>
      </c>
      <c r="M21" s="20"/>
      <c r="N21" s="20"/>
      <c r="O21" s="10">
        <v>390</v>
      </c>
      <c r="P21" s="21">
        <v>8.3809523809523814</v>
      </c>
      <c r="Q21" s="13">
        <v>12</v>
      </c>
      <c r="R21" s="14">
        <v>9.6486887679366654E-2</v>
      </c>
    </row>
    <row r="22" spans="1:18" ht="15" customHeight="1" x14ac:dyDescent="0.35">
      <c r="A22" s="9" t="s">
        <v>56</v>
      </c>
      <c r="B22" s="10">
        <v>98</v>
      </c>
      <c r="C22" s="10">
        <v>92</v>
      </c>
      <c r="D22" s="10">
        <v>102</v>
      </c>
      <c r="E22" s="10">
        <v>69</v>
      </c>
      <c r="F22" s="11">
        <v>19</v>
      </c>
      <c r="G22" s="11">
        <v>6</v>
      </c>
      <c r="H22" s="11">
        <v>14</v>
      </c>
      <c r="I22" s="11">
        <v>58</v>
      </c>
      <c r="J22" s="10">
        <v>97</v>
      </c>
      <c r="K22" s="12">
        <v>15</v>
      </c>
      <c r="L22" s="12">
        <v>6</v>
      </c>
      <c r="M22" s="20"/>
      <c r="N22" s="20"/>
      <c r="O22" s="10">
        <v>21</v>
      </c>
      <c r="P22" s="21">
        <v>0</v>
      </c>
      <c r="Q22" s="13">
        <v>-0.16000000000000003</v>
      </c>
      <c r="R22" s="14">
        <v>5.1954477981197428E-3</v>
      </c>
    </row>
    <row r="23" spans="1:18" ht="15" customHeight="1" x14ac:dyDescent="0.35">
      <c r="A23" s="9" t="s">
        <v>34</v>
      </c>
      <c r="B23" s="10">
        <v>1329</v>
      </c>
      <c r="C23" s="10">
        <v>912</v>
      </c>
      <c r="D23" s="10">
        <v>1011</v>
      </c>
      <c r="E23" s="10">
        <v>841</v>
      </c>
      <c r="F23" s="11">
        <v>206</v>
      </c>
      <c r="G23" s="11">
        <v>97</v>
      </c>
      <c r="H23" s="11">
        <v>108</v>
      </c>
      <c r="I23" s="11">
        <v>164</v>
      </c>
      <c r="J23" s="10">
        <v>575</v>
      </c>
      <c r="K23" s="12">
        <v>123</v>
      </c>
      <c r="L23" s="12">
        <v>82</v>
      </c>
      <c r="M23" s="20"/>
      <c r="N23" s="20"/>
      <c r="O23" s="10">
        <v>205</v>
      </c>
      <c r="P23" s="21">
        <v>-0.15463917525773196</v>
      </c>
      <c r="Q23" s="13">
        <v>-0.32343234323432346</v>
      </c>
      <c r="R23" s="14">
        <v>5.0717466600692727E-2</v>
      </c>
    </row>
    <row r="24" spans="1:18" ht="15" customHeight="1" x14ac:dyDescent="0.35">
      <c r="A24" t="s">
        <v>35</v>
      </c>
      <c r="B24" s="16">
        <f>SUBTOTAL(109,Tabell_Kalv[2020])</f>
        <v>13468</v>
      </c>
      <c r="C24" s="16">
        <f>SUBTOTAL(109,Tabell_Kalv[2021])</f>
        <v>11499</v>
      </c>
      <c r="D24" s="16">
        <f>SUBTOTAL(109,Tabell_Kalv[2022])</f>
        <v>11474</v>
      </c>
      <c r="E24" s="16">
        <f>SUBTOTAL(109,Tabell_Kalv[2023])</f>
        <v>10977</v>
      </c>
      <c r="F24" s="16">
        <f>SUBTOTAL(109,Tabell_Kalv[Kvartal 1 2024])</f>
        <v>2824</v>
      </c>
      <c r="G24" s="16">
        <f>SUBTOTAL(109,Tabell_Kalv[Kvartal 2 2024])</f>
        <v>2474</v>
      </c>
      <c r="H24" s="16">
        <f>SUBTOTAL(109,Tabell_Kalv[Kvartal 3 2024])</f>
        <v>2291</v>
      </c>
      <c r="I24" s="16">
        <f>SUBTOTAL(109,Tabell_Kalv[Kvartal 4 2024])</f>
        <v>2354</v>
      </c>
      <c r="J24" s="16">
        <f>SUBTOTAL(109,Tabell_Kalv[2024])</f>
        <v>9943</v>
      </c>
      <c r="K24" s="16">
        <f>SUBTOTAL(109,Tabell_Kalv[Kvartal 1 2025])</f>
        <v>2088</v>
      </c>
      <c r="L24" s="16">
        <f>SUBTOTAL(109,Tabell_Kalv[Kvartal 2 2025])</f>
        <v>1954</v>
      </c>
      <c r="M24" s="16">
        <f>SUBTOTAL(109,Tabell_Kalv[Kvartal 3 2025])</f>
        <v>0</v>
      </c>
      <c r="N24" s="16">
        <f>SUBTOTAL(109,Tabell_Kalv[Kvartal 4 2025])</f>
        <v>0</v>
      </c>
      <c r="O24" s="16">
        <f>SUBTOTAL(109,Tabell_Kalv[2025])</f>
        <v>4042</v>
      </c>
      <c r="P24" s="17">
        <f>L24/G24-1</f>
        <v>-0.21018593371059013</v>
      </c>
      <c r="Q24" s="17">
        <f>O24/SUM(F24:G24)-1</f>
        <v>-0.23707059267648167</v>
      </c>
      <c r="R24" s="18">
        <f>SUBTOTAL(109,Tabell_Kalv[Procentuell andel 2025*])</f>
        <v>1</v>
      </c>
    </row>
    <row r="25" spans="1:18" ht="15" customHeight="1" x14ac:dyDescent="0.35">
      <c r="A25" t="s">
        <v>66</v>
      </c>
    </row>
    <row r="26" spans="1:18" ht="15" customHeight="1" x14ac:dyDescent="0.35">
      <c r="A26" t="s">
        <v>37</v>
      </c>
    </row>
    <row r="27" spans="1:18" ht="15" customHeight="1" x14ac:dyDescent="0.35">
      <c r="A27" t="s">
        <v>67</v>
      </c>
    </row>
    <row r="28" spans="1:18" ht="15" customHeight="1" x14ac:dyDescent="0.35">
      <c r="A28" t="s">
        <v>39</v>
      </c>
    </row>
    <row r="29" spans="1:18" ht="15" customHeight="1" x14ac:dyDescent="0.35"/>
    <row r="30" spans="1:18" ht="15" customHeight="1" x14ac:dyDescent="0.35"/>
    <row r="31" spans="1:18" ht="15" customHeight="1" x14ac:dyDescent="0.35"/>
    <row r="32" spans="1:18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</sheetData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D849A-737D-4F41-9ED6-E94B8DDE7FE6}">
  <sheetPr codeName="flFår">
    <pageSetUpPr fitToPage="1"/>
  </sheetPr>
  <dimension ref="A1:R92"/>
  <sheetViews>
    <sheetView workbookViewId="0">
      <selection activeCell="A2" sqref="A2"/>
    </sheetView>
  </sheetViews>
  <sheetFormatPr defaultColWidth="9.1796875" defaultRowHeight="12" x14ac:dyDescent="0.3"/>
  <cols>
    <col min="1" max="1" width="27" style="23" customWidth="1"/>
    <col min="2" max="15" width="8.26953125" style="23" customWidth="1"/>
    <col min="16" max="16" width="9.26953125" style="23" customWidth="1"/>
    <col min="17" max="17" width="10.1796875" style="23" customWidth="1"/>
    <col min="18" max="18" width="10" style="23" customWidth="1"/>
    <col min="19" max="16384" width="9.1796875" style="23"/>
  </cols>
  <sheetData>
    <row r="1" spans="1:18" ht="92.25" customHeight="1" x14ac:dyDescent="0.35">
      <c r="A1" s="1" t="s">
        <v>68</v>
      </c>
      <c r="B1"/>
      <c r="C1" s="1"/>
      <c r="E1"/>
      <c r="F1"/>
      <c r="G1"/>
      <c r="H1"/>
      <c r="I1"/>
      <c r="J1" s="1"/>
      <c r="K1"/>
      <c r="L1"/>
      <c r="M1"/>
      <c r="N1"/>
      <c r="O1"/>
      <c r="P1"/>
      <c r="Q1"/>
      <c r="R1" s="2"/>
    </row>
    <row r="2" spans="1:18" ht="45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35">
      <c r="A3" s="9" t="s">
        <v>69</v>
      </c>
      <c r="B3" s="10">
        <v>2770</v>
      </c>
      <c r="C3" s="10">
        <v>3087</v>
      </c>
      <c r="D3" s="10">
        <v>2875</v>
      </c>
      <c r="E3" s="10">
        <v>1509</v>
      </c>
      <c r="F3" s="11">
        <v>249</v>
      </c>
      <c r="G3" s="11">
        <v>356</v>
      </c>
      <c r="H3" s="11">
        <v>462</v>
      </c>
      <c r="I3" s="11">
        <v>353</v>
      </c>
      <c r="J3" s="10">
        <v>1420</v>
      </c>
      <c r="K3" s="12">
        <v>242</v>
      </c>
      <c r="L3" s="12">
        <v>528</v>
      </c>
      <c r="M3" s="12"/>
      <c r="N3" s="12"/>
      <c r="O3" s="10">
        <v>770</v>
      </c>
      <c r="P3" s="13">
        <v>0.48314606741573041</v>
      </c>
      <c r="Q3" s="13">
        <v>0.27272727272727271</v>
      </c>
      <c r="R3" s="14">
        <v>1.1185844821825473E-2</v>
      </c>
    </row>
    <row r="4" spans="1:18" ht="15" customHeight="1" x14ac:dyDescent="0.35">
      <c r="A4" s="9" t="s">
        <v>61</v>
      </c>
      <c r="B4" s="10">
        <v>2098</v>
      </c>
      <c r="C4" s="10">
        <v>1923</v>
      </c>
      <c r="D4" s="10">
        <v>1715</v>
      </c>
      <c r="E4" s="10">
        <v>1854</v>
      </c>
      <c r="F4" s="11">
        <v>358</v>
      </c>
      <c r="G4" s="11">
        <v>186</v>
      </c>
      <c r="H4" s="11">
        <v>349</v>
      </c>
      <c r="I4" s="11">
        <v>588</v>
      </c>
      <c r="J4" s="10">
        <v>1481</v>
      </c>
      <c r="K4" s="12">
        <v>264</v>
      </c>
      <c r="L4" s="12">
        <v>131</v>
      </c>
      <c r="M4" s="12"/>
      <c r="N4" s="12"/>
      <c r="O4" s="10">
        <v>395</v>
      </c>
      <c r="P4" s="13">
        <v>-0.29569892473118276</v>
      </c>
      <c r="Q4" s="13">
        <v>-0.27389705882352944</v>
      </c>
      <c r="R4" s="14">
        <v>5.7381931228844951E-3</v>
      </c>
    </row>
    <row r="5" spans="1:18" ht="15" customHeight="1" x14ac:dyDescent="0.35">
      <c r="A5" s="9" t="s">
        <v>21</v>
      </c>
      <c r="B5" s="10">
        <v>948</v>
      </c>
      <c r="C5" s="10">
        <v>921</v>
      </c>
      <c r="D5" s="10">
        <v>758</v>
      </c>
      <c r="E5" s="10">
        <v>754</v>
      </c>
      <c r="F5" s="11">
        <v>50</v>
      </c>
      <c r="G5" s="11">
        <v>85</v>
      </c>
      <c r="H5" s="11">
        <v>193</v>
      </c>
      <c r="I5" s="11">
        <v>317</v>
      </c>
      <c r="J5" s="10">
        <v>645</v>
      </c>
      <c r="K5" s="12">
        <v>15</v>
      </c>
      <c r="L5" s="12">
        <v>120</v>
      </c>
      <c r="M5" s="12"/>
      <c r="N5" s="12"/>
      <c r="O5" s="10">
        <v>135</v>
      </c>
      <c r="P5" s="13">
        <v>0.41176470588235303</v>
      </c>
      <c r="Q5" s="13">
        <v>0</v>
      </c>
      <c r="R5" s="14">
        <v>1.9611546116187514E-3</v>
      </c>
    </row>
    <row r="6" spans="1:18" ht="15" customHeight="1" x14ac:dyDescent="0.35">
      <c r="A6" s="9" t="s">
        <v>62</v>
      </c>
      <c r="B6" s="10">
        <v>990</v>
      </c>
      <c r="C6" s="10">
        <v>1234</v>
      </c>
      <c r="D6" s="10">
        <v>1885</v>
      </c>
      <c r="E6" s="10">
        <v>2298</v>
      </c>
      <c r="F6" s="11">
        <v>287</v>
      </c>
      <c r="G6" s="11">
        <v>117</v>
      </c>
      <c r="H6" s="11">
        <v>368</v>
      </c>
      <c r="I6" s="11">
        <v>906</v>
      </c>
      <c r="J6" s="10">
        <v>1678</v>
      </c>
      <c r="K6" s="12">
        <v>153</v>
      </c>
      <c r="L6" s="12">
        <v>114</v>
      </c>
      <c r="M6" s="12"/>
      <c r="N6" s="12"/>
      <c r="O6" s="10">
        <v>267</v>
      </c>
      <c r="P6" s="13">
        <v>-2.5641025641025661E-2</v>
      </c>
      <c r="Q6" s="13">
        <v>-0.33910891089108908</v>
      </c>
      <c r="R6" s="14">
        <v>3.8787280096459751E-3</v>
      </c>
    </row>
    <row r="7" spans="1:18" ht="15" customHeight="1" x14ac:dyDescent="0.35">
      <c r="A7" s="9" t="s">
        <v>43</v>
      </c>
      <c r="B7" s="10">
        <v>2152</v>
      </c>
      <c r="C7" s="10">
        <v>4381</v>
      </c>
      <c r="D7" s="10">
        <v>5280</v>
      </c>
      <c r="E7" s="10">
        <v>5505</v>
      </c>
      <c r="F7" s="11">
        <v>1036</v>
      </c>
      <c r="G7" s="11">
        <v>856</v>
      </c>
      <c r="H7" s="11">
        <v>1412</v>
      </c>
      <c r="I7" s="11">
        <v>1986</v>
      </c>
      <c r="J7" s="10">
        <v>5290</v>
      </c>
      <c r="K7" s="12">
        <v>628</v>
      </c>
      <c r="L7" s="12">
        <v>733</v>
      </c>
      <c r="M7" s="12"/>
      <c r="N7" s="12"/>
      <c r="O7" s="10">
        <v>1361</v>
      </c>
      <c r="P7" s="13">
        <v>-0.14369158878504673</v>
      </c>
      <c r="Q7" s="13">
        <v>-0.28065539112050741</v>
      </c>
      <c r="R7" s="14">
        <v>1.9771343899356451E-2</v>
      </c>
    </row>
    <row r="8" spans="1:18" ht="15" customHeight="1" x14ac:dyDescent="0.35">
      <c r="A8" s="9" t="s">
        <v>45</v>
      </c>
      <c r="B8" s="10">
        <v>1125</v>
      </c>
      <c r="C8" s="10">
        <v>1135</v>
      </c>
      <c r="D8" s="10">
        <v>1107</v>
      </c>
      <c r="E8" s="10">
        <v>1035</v>
      </c>
      <c r="F8" s="11">
        <v>170</v>
      </c>
      <c r="G8" s="11">
        <v>225</v>
      </c>
      <c r="H8" s="11">
        <v>199</v>
      </c>
      <c r="I8" s="11">
        <v>266</v>
      </c>
      <c r="J8" s="10">
        <v>860</v>
      </c>
      <c r="K8" s="12">
        <v>203</v>
      </c>
      <c r="L8" s="12">
        <v>170</v>
      </c>
      <c r="M8" s="12"/>
      <c r="N8" s="12"/>
      <c r="O8" s="10">
        <v>373</v>
      </c>
      <c r="P8" s="13">
        <v>-0.24444444444444446</v>
      </c>
      <c r="Q8" s="13">
        <v>-5.5696202531645533E-2</v>
      </c>
      <c r="R8" s="14">
        <v>5.4185975565466246E-3</v>
      </c>
    </row>
    <row r="9" spans="1:18" ht="15" customHeight="1" x14ac:dyDescent="0.35">
      <c r="A9" s="9" t="s">
        <v>23</v>
      </c>
      <c r="B9" s="10">
        <v>2207</v>
      </c>
      <c r="C9" s="10">
        <v>1017</v>
      </c>
      <c r="D9" s="10">
        <v>1546</v>
      </c>
      <c r="E9" s="10">
        <v>2022</v>
      </c>
      <c r="F9" s="11">
        <v>287</v>
      </c>
      <c r="G9" s="11">
        <v>280</v>
      </c>
      <c r="H9" s="11">
        <v>603</v>
      </c>
      <c r="I9" s="11">
        <v>1045</v>
      </c>
      <c r="J9" s="10">
        <v>2215</v>
      </c>
      <c r="K9" s="12">
        <v>290</v>
      </c>
      <c r="L9" s="12">
        <v>595</v>
      </c>
      <c r="M9" s="12"/>
      <c r="N9" s="12"/>
      <c r="O9" s="10">
        <v>885</v>
      </c>
      <c r="P9" s="13">
        <v>1.125</v>
      </c>
      <c r="Q9" s="13">
        <v>0.56084656084656093</v>
      </c>
      <c r="R9" s="14">
        <v>1.2856458009500705E-2</v>
      </c>
    </row>
    <row r="10" spans="1:18" ht="15" customHeight="1" x14ac:dyDescent="0.35">
      <c r="A10" s="9" t="s">
        <v>46</v>
      </c>
      <c r="B10" s="10">
        <v>1507</v>
      </c>
      <c r="C10" s="10">
        <v>1716</v>
      </c>
      <c r="D10" s="10">
        <v>1512</v>
      </c>
      <c r="E10" s="10">
        <v>1534</v>
      </c>
      <c r="F10" s="11">
        <v>330</v>
      </c>
      <c r="G10" s="11">
        <v>244</v>
      </c>
      <c r="H10" s="11">
        <v>553</v>
      </c>
      <c r="I10" s="11">
        <v>801</v>
      </c>
      <c r="J10" s="10">
        <v>1928</v>
      </c>
      <c r="K10" s="12">
        <v>261</v>
      </c>
      <c r="L10" s="12">
        <v>216</v>
      </c>
      <c r="M10" s="12"/>
      <c r="N10" s="12"/>
      <c r="O10" s="10">
        <v>477</v>
      </c>
      <c r="P10" s="13">
        <v>-0.11475409836065575</v>
      </c>
      <c r="Q10" s="13">
        <v>-0.16898954703832758</v>
      </c>
      <c r="R10" s="14">
        <v>6.9294129610529224E-3</v>
      </c>
    </row>
    <row r="11" spans="1:18" ht="15" customHeight="1" x14ac:dyDescent="0.35">
      <c r="A11" s="9" t="s">
        <v>25</v>
      </c>
      <c r="B11" s="10">
        <v>20680</v>
      </c>
      <c r="C11" s="10">
        <v>21982</v>
      </c>
      <c r="D11" s="10">
        <v>33808</v>
      </c>
      <c r="E11" s="10">
        <v>27525</v>
      </c>
      <c r="F11" s="11">
        <v>3928</v>
      </c>
      <c r="G11" s="11">
        <v>5289</v>
      </c>
      <c r="H11" s="11">
        <v>6464</v>
      </c>
      <c r="I11" s="11">
        <v>7384</v>
      </c>
      <c r="J11" s="10">
        <v>23065</v>
      </c>
      <c r="K11" s="12">
        <v>3585</v>
      </c>
      <c r="L11" s="12">
        <v>6872</v>
      </c>
      <c r="M11" s="12"/>
      <c r="N11" s="12"/>
      <c r="O11" s="10">
        <v>10457</v>
      </c>
      <c r="P11" s="13">
        <v>0.29930043486481384</v>
      </c>
      <c r="Q11" s="13">
        <v>0.13453401323641101</v>
      </c>
      <c r="R11" s="14">
        <v>0.15190958350886877</v>
      </c>
    </row>
    <row r="12" spans="1:18" ht="15" customHeight="1" x14ac:dyDescent="0.35">
      <c r="A12" s="9" t="s">
        <v>47</v>
      </c>
      <c r="B12" s="10">
        <v>11043</v>
      </c>
      <c r="C12" s="10">
        <v>11988</v>
      </c>
      <c r="D12" s="10">
        <v>4730</v>
      </c>
      <c r="E12" s="10">
        <v>14928</v>
      </c>
      <c r="F12" s="11">
        <v>2851</v>
      </c>
      <c r="G12" s="11">
        <v>4148</v>
      </c>
      <c r="H12" s="11">
        <v>5025</v>
      </c>
      <c r="I12" s="11">
        <v>4510</v>
      </c>
      <c r="J12" s="10">
        <v>16534</v>
      </c>
      <c r="K12" s="12">
        <v>2785</v>
      </c>
      <c r="L12" s="12">
        <v>4795</v>
      </c>
      <c r="M12" s="12"/>
      <c r="N12" s="12"/>
      <c r="O12" s="10">
        <v>7580</v>
      </c>
      <c r="P12" s="13">
        <v>0.15597878495660567</v>
      </c>
      <c r="Q12" s="13">
        <v>8.3011858836976815E-2</v>
      </c>
      <c r="R12" s="14">
        <v>0.1101151996745936</v>
      </c>
    </row>
    <row r="13" spans="1:18" ht="15" customHeight="1" x14ac:dyDescent="0.35">
      <c r="A13" s="9" t="s">
        <v>70</v>
      </c>
      <c r="B13" s="10">
        <v>5312</v>
      </c>
      <c r="C13" s="10">
        <v>5662</v>
      </c>
      <c r="D13" s="10">
        <v>6303</v>
      </c>
      <c r="E13" s="10">
        <v>6801</v>
      </c>
      <c r="F13" s="11">
        <v>744</v>
      </c>
      <c r="G13" s="11">
        <v>562</v>
      </c>
      <c r="H13" s="11">
        <v>1326</v>
      </c>
      <c r="I13" s="11">
        <v>3248</v>
      </c>
      <c r="J13" s="10">
        <v>5880</v>
      </c>
      <c r="K13" s="12">
        <v>466</v>
      </c>
      <c r="L13" s="12">
        <v>796</v>
      </c>
      <c r="M13" s="12"/>
      <c r="N13" s="12"/>
      <c r="O13" s="10">
        <v>1262</v>
      </c>
      <c r="P13" s="13">
        <v>0.41637010676156594</v>
      </c>
      <c r="Q13" s="13">
        <v>-3.3690658499234249E-2</v>
      </c>
      <c r="R13" s="14">
        <v>1.8333163850836033E-2</v>
      </c>
    </row>
    <row r="14" spans="1:18" ht="15" customHeight="1" x14ac:dyDescent="0.35">
      <c r="A14" s="9" t="s">
        <v>64</v>
      </c>
      <c r="B14" s="10">
        <v>3842</v>
      </c>
      <c r="C14" s="10">
        <v>3621</v>
      </c>
      <c r="D14" s="10">
        <v>3650</v>
      </c>
      <c r="E14" s="10">
        <v>3339</v>
      </c>
      <c r="F14" s="11">
        <v>205</v>
      </c>
      <c r="G14" s="11">
        <v>280</v>
      </c>
      <c r="H14" s="11">
        <v>794</v>
      </c>
      <c r="I14" s="11">
        <v>1465</v>
      </c>
      <c r="J14" s="10">
        <v>2744</v>
      </c>
      <c r="K14" s="12">
        <v>175</v>
      </c>
      <c r="L14" s="12">
        <v>117</v>
      </c>
      <c r="M14" s="12"/>
      <c r="N14" s="12"/>
      <c r="O14" s="10">
        <v>292</v>
      </c>
      <c r="P14" s="13">
        <v>-0.58214285714285707</v>
      </c>
      <c r="Q14" s="13">
        <v>-0.39793814432989694</v>
      </c>
      <c r="R14" s="14">
        <v>4.2419047895753733E-3</v>
      </c>
    </row>
    <row r="15" spans="1:18" ht="15" customHeight="1" x14ac:dyDescent="0.35">
      <c r="A15" s="9" t="s">
        <v>49</v>
      </c>
      <c r="B15" s="10">
        <v>3126</v>
      </c>
      <c r="C15" s="10">
        <v>3102</v>
      </c>
      <c r="D15" s="10">
        <v>3271</v>
      </c>
      <c r="E15" s="10">
        <v>3032</v>
      </c>
      <c r="F15" s="11">
        <v>223</v>
      </c>
      <c r="G15" s="11">
        <v>401</v>
      </c>
      <c r="H15" s="11">
        <v>1028</v>
      </c>
      <c r="I15" s="11">
        <v>1397</v>
      </c>
      <c r="J15" s="10">
        <v>3049</v>
      </c>
      <c r="K15" s="12">
        <v>297</v>
      </c>
      <c r="L15" s="12">
        <v>215</v>
      </c>
      <c r="M15" s="12"/>
      <c r="N15" s="12"/>
      <c r="O15" s="10">
        <v>512</v>
      </c>
      <c r="P15" s="13">
        <v>-0.46384039900249374</v>
      </c>
      <c r="Q15" s="13">
        <v>-0.17948717948717952</v>
      </c>
      <c r="R15" s="14">
        <v>7.4378604529540798E-3</v>
      </c>
    </row>
    <row r="16" spans="1:18" ht="15" customHeight="1" x14ac:dyDescent="0.35">
      <c r="A16" s="9" t="s">
        <v>29</v>
      </c>
      <c r="B16" s="10">
        <v>30838</v>
      </c>
      <c r="C16" s="10">
        <v>29622</v>
      </c>
      <c r="D16" s="10">
        <v>28380</v>
      </c>
      <c r="E16" s="10">
        <v>30261</v>
      </c>
      <c r="F16" s="11">
        <v>5163</v>
      </c>
      <c r="G16" s="11">
        <v>6253</v>
      </c>
      <c r="H16" s="11">
        <v>7351</v>
      </c>
      <c r="I16" s="11">
        <v>8277</v>
      </c>
      <c r="J16" s="10">
        <v>27044</v>
      </c>
      <c r="K16" s="12">
        <v>5227</v>
      </c>
      <c r="L16" s="12">
        <v>6244</v>
      </c>
      <c r="M16" s="12"/>
      <c r="N16" s="12"/>
      <c r="O16" s="10">
        <v>11471</v>
      </c>
      <c r="P16" s="13">
        <v>-1.4393091316168283E-3</v>
      </c>
      <c r="Q16" s="13">
        <v>4.8177995795375406E-3</v>
      </c>
      <c r="R16" s="14">
        <v>0.16664003370280517</v>
      </c>
    </row>
    <row r="17" spans="1:18" ht="15" customHeight="1" x14ac:dyDescent="0.35">
      <c r="A17" s="9" t="s">
        <v>30</v>
      </c>
      <c r="B17" s="10">
        <v>3049</v>
      </c>
      <c r="C17" s="10">
        <v>3443</v>
      </c>
      <c r="D17" s="10">
        <v>3344</v>
      </c>
      <c r="E17" s="10">
        <v>3441</v>
      </c>
      <c r="F17" s="11">
        <v>721</v>
      </c>
      <c r="G17" s="11">
        <v>321</v>
      </c>
      <c r="H17" s="11">
        <v>717</v>
      </c>
      <c r="I17" s="11">
        <v>690</v>
      </c>
      <c r="J17" s="10">
        <v>2449</v>
      </c>
      <c r="K17" s="12">
        <v>778</v>
      </c>
      <c r="L17" s="12">
        <v>523</v>
      </c>
      <c r="M17" s="12"/>
      <c r="N17" s="12"/>
      <c r="O17" s="10">
        <v>1301</v>
      </c>
      <c r="P17" s="13">
        <v>0.62928348909657328</v>
      </c>
      <c r="Q17" s="13">
        <v>0.24856046065259108</v>
      </c>
      <c r="R17" s="14">
        <v>1.8899719627525895E-2</v>
      </c>
    </row>
    <row r="18" spans="1:18" ht="15" customHeight="1" x14ac:dyDescent="0.35">
      <c r="A18" s="9" t="s">
        <v>31</v>
      </c>
      <c r="B18" s="10">
        <v>2274</v>
      </c>
      <c r="C18" s="10">
        <v>2344</v>
      </c>
      <c r="D18" s="10">
        <v>2966</v>
      </c>
      <c r="E18" s="10">
        <v>3710</v>
      </c>
      <c r="F18" s="11">
        <v>388</v>
      </c>
      <c r="G18" s="11">
        <v>290</v>
      </c>
      <c r="H18" s="11">
        <v>936</v>
      </c>
      <c r="I18" s="11">
        <v>1748</v>
      </c>
      <c r="J18" s="10">
        <v>3362</v>
      </c>
      <c r="K18" s="12">
        <v>363</v>
      </c>
      <c r="L18" s="12">
        <v>273</v>
      </c>
      <c r="M18" s="12"/>
      <c r="N18" s="12"/>
      <c r="O18" s="10">
        <v>636</v>
      </c>
      <c r="P18" s="13">
        <v>-5.862068965517242E-2</v>
      </c>
      <c r="Q18" s="13">
        <v>-6.1946902654867242E-2</v>
      </c>
      <c r="R18" s="14">
        <v>9.2392172814038959E-3</v>
      </c>
    </row>
    <row r="19" spans="1:18" ht="15" customHeight="1" x14ac:dyDescent="0.35">
      <c r="A19" s="9" t="s">
        <v>53</v>
      </c>
      <c r="B19" s="10">
        <v>95301</v>
      </c>
      <c r="C19" s="10">
        <v>87156</v>
      </c>
      <c r="D19" s="10">
        <v>84407</v>
      </c>
      <c r="E19" s="10">
        <v>82992</v>
      </c>
      <c r="F19" s="11">
        <v>12814</v>
      </c>
      <c r="G19" s="11">
        <v>16049</v>
      </c>
      <c r="H19" s="11">
        <v>20936</v>
      </c>
      <c r="I19" s="11">
        <v>22055</v>
      </c>
      <c r="J19" s="10">
        <v>71854</v>
      </c>
      <c r="K19" s="12">
        <v>9198</v>
      </c>
      <c r="L19" s="12">
        <v>14917</v>
      </c>
      <c r="M19" s="12"/>
      <c r="N19" s="12"/>
      <c r="O19" s="10">
        <v>24115</v>
      </c>
      <c r="P19" s="13">
        <v>-7.0533989656676455E-2</v>
      </c>
      <c r="Q19" s="13">
        <v>-0.16450126459480996</v>
      </c>
      <c r="R19" s="14">
        <v>0.3503203219198977</v>
      </c>
    </row>
    <row r="20" spans="1:18" ht="15" customHeight="1" x14ac:dyDescent="0.35">
      <c r="A20" s="9" t="s">
        <v>71</v>
      </c>
      <c r="B20" s="10">
        <v>10399</v>
      </c>
      <c r="C20" s="10">
        <v>9746</v>
      </c>
      <c r="D20" s="10">
        <v>8704</v>
      </c>
      <c r="E20" s="10">
        <v>8263</v>
      </c>
      <c r="F20" s="11">
        <v>1363</v>
      </c>
      <c r="G20" s="11">
        <v>851</v>
      </c>
      <c r="H20" s="11">
        <v>1984</v>
      </c>
      <c r="I20" s="11">
        <v>2629</v>
      </c>
      <c r="J20" s="10">
        <v>6827</v>
      </c>
      <c r="K20" s="12">
        <v>1081</v>
      </c>
      <c r="L20" s="12">
        <v>949</v>
      </c>
      <c r="M20" s="12"/>
      <c r="N20" s="12"/>
      <c r="O20" s="10">
        <v>2030</v>
      </c>
      <c r="P20" s="13">
        <v>0.11515863689776729</v>
      </c>
      <c r="Q20" s="13">
        <v>-8.3107497741644054E-2</v>
      </c>
      <c r="R20" s="14">
        <v>2.9489954530267152E-2</v>
      </c>
    </row>
    <row r="21" spans="1:18" ht="15" customHeight="1" x14ac:dyDescent="0.35">
      <c r="A21" s="9" t="s">
        <v>54</v>
      </c>
      <c r="B21" s="10">
        <v>949</v>
      </c>
      <c r="C21" s="10">
        <v>1133</v>
      </c>
      <c r="D21" s="10">
        <v>1019</v>
      </c>
      <c r="E21" s="10">
        <v>1117</v>
      </c>
      <c r="F21" s="11">
        <v>222</v>
      </c>
      <c r="G21" s="11">
        <v>131</v>
      </c>
      <c r="H21" s="11">
        <v>199</v>
      </c>
      <c r="I21" s="11">
        <v>364</v>
      </c>
      <c r="J21" s="10">
        <v>916</v>
      </c>
      <c r="K21" s="12">
        <v>247</v>
      </c>
      <c r="L21" s="12">
        <v>53</v>
      </c>
      <c r="M21" s="12"/>
      <c r="N21" s="12"/>
      <c r="O21" s="10">
        <v>300</v>
      </c>
      <c r="P21" s="13">
        <v>-0.59541984732824427</v>
      </c>
      <c r="Q21" s="13">
        <v>-0.15014164305949007</v>
      </c>
      <c r="R21" s="14">
        <v>4.3581213591527808E-3</v>
      </c>
    </row>
    <row r="22" spans="1:18" ht="15" customHeight="1" x14ac:dyDescent="0.35">
      <c r="A22" s="9" t="s">
        <v>55</v>
      </c>
      <c r="B22" s="10">
        <v>2068</v>
      </c>
      <c r="C22" s="10">
        <v>2178</v>
      </c>
      <c r="D22" s="10">
        <v>2468</v>
      </c>
      <c r="E22" s="10">
        <v>287</v>
      </c>
      <c r="F22" s="11">
        <v>95</v>
      </c>
      <c r="G22" s="11">
        <v>144</v>
      </c>
      <c r="H22" s="11">
        <v>202</v>
      </c>
      <c r="I22" s="11">
        <v>543</v>
      </c>
      <c r="J22" s="10">
        <v>984</v>
      </c>
      <c r="K22" s="12">
        <v>160</v>
      </c>
      <c r="L22" s="12">
        <v>57</v>
      </c>
      <c r="M22" s="12"/>
      <c r="N22" s="12"/>
      <c r="O22" s="10">
        <v>217</v>
      </c>
      <c r="P22" s="13">
        <v>-0.60416666666666674</v>
      </c>
      <c r="Q22" s="13">
        <v>-9.2050209205020939E-2</v>
      </c>
      <c r="R22" s="14">
        <v>3.1523744497871783E-3</v>
      </c>
    </row>
    <row r="23" spans="1:18" ht="15" customHeight="1" x14ac:dyDescent="0.35">
      <c r="A23" s="9" t="s">
        <v>72</v>
      </c>
      <c r="B23" s="10">
        <v>1147</v>
      </c>
      <c r="C23" s="10">
        <v>1197</v>
      </c>
      <c r="D23" s="10">
        <v>1186</v>
      </c>
      <c r="E23" s="10">
        <v>1000</v>
      </c>
      <c r="F23" s="11">
        <v>160</v>
      </c>
      <c r="G23" s="11">
        <v>76</v>
      </c>
      <c r="H23" s="11">
        <v>272</v>
      </c>
      <c r="I23" s="11">
        <v>621</v>
      </c>
      <c r="J23" s="10">
        <v>1129</v>
      </c>
      <c r="K23" s="12">
        <v>69</v>
      </c>
      <c r="L23" s="12">
        <v>73</v>
      </c>
      <c r="M23" s="12"/>
      <c r="N23" s="12"/>
      <c r="O23" s="10">
        <v>142</v>
      </c>
      <c r="P23" s="13">
        <v>-3.9473684210526327E-2</v>
      </c>
      <c r="Q23" s="13">
        <v>-0.39830508474576276</v>
      </c>
      <c r="R23" s="14">
        <v>2.0628441099989833E-3</v>
      </c>
    </row>
    <row r="24" spans="1:18" ht="15" customHeight="1" x14ac:dyDescent="0.35">
      <c r="A24" s="9" t="s">
        <v>56</v>
      </c>
      <c r="B24" s="10">
        <v>1531</v>
      </c>
      <c r="C24" s="10">
        <v>1396</v>
      </c>
      <c r="D24" s="10">
        <v>1047</v>
      </c>
      <c r="E24" s="10">
        <v>1040</v>
      </c>
      <c r="F24" s="11">
        <v>121</v>
      </c>
      <c r="G24" s="11">
        <v>73</v>
      </c>
      <c r="H24" s="11">
        <v>239</v>
      </c>
      <c r="I24" s="11">
        <v>494</v>
      </c>
      <c r="J24" s="10">
        <v>927</v>
      </c>
      <c r="K24" s="12">
        <v>101</v>
      </c>
      <c r="L24" s="12">
        <v>113</v>
      </c>
      <c r="M24" s="12"/>
      <c r="N24" s="12"/>
      <c r="O24" s="10">
        <v>214</v>
      </c>
      <c r="P24" s="13">
        <v>0.54794520547945202</v>
      </c>
      <c r="Q24" s="13">
        <v>0.10309278350515472</v>
      </c>
      <c r="R24" s="14">
        <v>3.1087932361956506E-3</v>
      </c>
    </row>
    <row r="25" spans="1:18" ht="15" customHeight="1" x14ac:dyDescent="0.35">
      <c r="A25" s="9" t="s">
        <v>73</v>
      </c>
      <c r="B25" s="10">
        <v>1286</v>
      </c>
      <c r="C25" s="10">
        <v>1410</v>
      </c>
      <c r="D25" s="10">
        <v>1457</v>
      </c>
      <c r="E25" s="10">
        <v>1637</v>
      </c>
      <c r="F25" s="11">
        <v>157</v>
      </c>
      <c r="G25" s="11">
        <v>106</v>
      </c>
      <c r="H25" s="11">
        <v>391</v>
      </c>
      <c r="I25" s="11">
        <v>670</v>
      </c>
      <c r="J25" s="10">
        <v>1324</v>
      </c>
      <c r="K25" s="12">
        <v>110</v>
      </c>
      <c r="L25" s="12">
        <v>178</v>
      </c>
      <c r="M25" s="12"/>
      <c r="N25" s="12"/>
      <c r="O25" s="10">
        <v>288</v>
      </c>
      <c r="P25" s="13">
        <v>0.679245283018868</v>
      </c>
      <c r="Q25" s="13">
        <v>9.5057034220532355E-2</v>
      </c>
      <c r="R25" s="14">
        <v>4.18379650478667E-3</v>
      </c>
    </row>
    <row r="26" spans="1:18" ht="15" customHeight="1" x14ac:dyDescent="0.35">
      <c r="A26" s="9" t="s">
        <v>74</v>
      </c>
      <c r="B26" s="10">
        <v>1186</v>
      </c>
      <c r="C26" s="10">
        <v>1062</v>
      </c>
      <c r="D26" s="10">
        <v>952</v>
      </c>
      <c r="E26" s="10">
        <v>903</v>
      </c>
      <c r="F26" s="11">
        <v>99</v>
      </c>
      <c r="G26" s="11">
        <v>104</v>
      </c>
      <c r="H26" s="11">
        <v>162</v>
      </c>
      <c r="I26" s="11">
        <v>387</v>
      </c>
      <c r="J26" s="10">
        <v>752</v>
      </c>
      <c r="K26" s="12">
        <v>135</v>
      </c>
      <c r="L26" s="12">
        <v>95</v>
      </c>
      <c r="M26" s="12"/>
      <c r="N26" s="12"/>
      <c r="O26" s="10">
        <v>230</v>
      </c>
      <c r="P26" s="13">
        <v>-8.6538461538461564E-2</v>
      </c>
      <c r="Q26" s="13">
        <v>0.13300492610837433</v>
      </c>
      <c r="R26" s="14">
        <v>3.3412263753504656E-3</v>
      </c>
    </row>
    <row r="27" spans="1:18" ht="15" customHeight="1" x14ac:dyDescent="0.35">
      <c r="A27" s="9" t="s">
        <v>75</v>
      </c>
      <c r="B27" s="10">
        <v>4342</v>
      </c>
      <c r="C27" s="10">
        <v>4327</v>
      </c>
      <c r="D27" s="10">
        <v>3950</v>
      </c>
      <c r="E27" s="10">
        <v>3969</v>
      </c>
      <c r="F27" s="11">
        <v>406</v>
      </c>
      <c r="G27" s="11">
        <v>319</v>
      </c>
      <c r="H27" s="11">
        <v>977</v>
      </c>
      <c r="I27" s="11">
        <v>1835</v>
      </c>
      <c r="J27" s="10">
        <v>3537</v>
      </c>
      <c r="K27" s="12">
        <v>360</v>
      </c>
      <c r="L27" s="12">
        <v>403</v>
      </c>
      <c r="M27" s="12"/>
      <c r="N27" s="12"/>
      <c r="O27" s="10">
        <v>763</v>
      </c>
      <c r="P27" s="13">
        <v>0.26332288401253923</v>
      </c>
      <c r="Q27" s="13">
        <v>5.2413793103448292E-2</v>
      </c>
      <c r="R27" s="14">
        <v>1.1084155323445239E-2</v>
      </c>
    </row>
    <row r="28" spans="1:18" ht="15" customHeight="1" x14ac:dyDescent="0.35">
      <c r="A28" s="9" t="s">
        <v>34</v>
      </c>
      <c r="B28" s="10">
        <v>28347</v>
      </c>
      <c r="C28" s="10">
        <v>23337</v>
      </c>
      <c r="D28" s="10">
        <v>20502</v>
      </c>
      <c r="E28" s="10">
        <v>18376</v>
      </c>
      <c r="F28" s="11">
        <v>1653</v>
      </c>
      <c r="G28" s="11">
        <v>1043</v>
      </c>
      <c r="H28" s="11">
        <v>3221</v>
      </c>
      <c r="I28" s="11">
        <v>7675</v>
      </c>
      <c r="J28" s="10">
        <v>13592</v>
      </c>
      <c r="K28" s="12">
        <v>1228</v>
      </c>
      <c r="L28" s="12">
        <v>1136</v>
      </c>
      <c r="M28" s="12"/>
      <c r="N28" s="12"/>
      <c r="O28" s="10">
        <v>2364</v>
      </c>
      <c r="P28" s="13">
        <v>8.9165867689357636E-2</v>
      </c>
      <c r="Q28" s="13">
        <v>-0.12314540059347179</v>
      </c>
      <c r="R28" s="14">
        <v>3.4341996310123919E-2</v>
      </c>
    </row>
    <row r="29" spans="1:18" ht="15" customHeight="1" x14ac:dyDescent="0.35">
      <c r="A29" t="s">
        <v>35</v>
      </c>
      <c r="B29" s="16">
        <f>SUBTOTAL(109,Tabell_Får[2020])</f>
        <v>240517</v>
      </c>
      <c r="C29" s="16">
        <f>SUBTOTAL(109,Tabell_Får[2021])</f>
        <v>230120</v>
      </c>
      <c r="D29" s="16">
        <f>SUBTOTAL(109,Tabell_Får[2022])</f>
        <v>228822</v>
      </c>
      <c r="E29" s="16">
        <f>SUBTOTAL(109,Tabell_Får[2023])</f>
        <v>229132</v>
      </c>
      <c r="F29" s="16">
        <f>SUBTOTAL(109,Tabell_Får[Kvartal 1 2024])</f>
        <v>34080</v>
      </c>
      <c r="G29" s="16">
        <f>SUBTOTAL(109,Tabell_Får[Kvartal 2 2024])</f>
        <v>38789</v>
      </c>
      <c r="H29" s="16">
        <f>SUBTOTAL(109,Tabell_Får[Kvartal 3 2024])</f>
        <v>56363</v>
      </c>
      <c r="I29" s="16">
        <f>SUBTOTAL(109,Tabell_Får[Kvartal 4 2024])</f>
        <v>72254</v>
      </c>
      <c r="J29" s="16">
        <f>SUBTOTAL(109,Tabell_Får[2024])</f>
        <v>201486</v>
      </c>
      <c r="K29" s="16">
        <f>SUBTOTAL(109,Tabell_Får[Kvartal 1 2025])</f>
        <v>28421</v>
      </c>
      <c r="L29" s="16">
        <f>SUBTOTAL(109,Tabell_Får[Kvartal 2 2025])</f>
        <v>40416</v>
      </c>
      <c r="M29" s="16">
        <f>SUBTOTAL(109,Tabell_Får[Kvartal 3 2025])</f>
        <v>0</v>
      </c>
      <c r="N29" s="16">
        <f>SUBTOTAL(109,Tabell_Får[Kvartal 4 2025])</f>
        <v>0</v>
      </c>
      <c r="O29" s="16">
        <f>SUBTOTAL(109,Tabell_Får[2025])</f>
        <v>68837</v>
      </c>
      <c r="P29" s="17">
        <f>L29/G29-1</f>
        <v>4.1944881280775448E-2</v>
      </c>
      <c r="Q29" s="17">
        <f>O29/SUM(F29:G29)-1</f>
        <v>-5.5332171430923949E-2</v>
      </c>
      <c r="R29" s="18">
        <f>SUBTOTAL(109,Tabell_Får[Procentuell andel 2025*])</f>
        <v>0.99999999999999989</v>
      </c>
    </row>
    <row r="30" spans="1:18" ht="15" customHeight="1" x14ac:dyDescent="0.3">
      <c r="A30" s="23" t="s">
        <v>76</v>
      </c>
    </row>
    <row r="31" spans="1:18" ht="15" customHeight="1" x14ac:dyDescent="0.3">
      <c r="A31" s="23" t="s">
        <v>37</v>
      </c>
    </row>
    <row r="32" spans="1:18" ht="15" customHeight="1" x14ac:dyDescent="0.3">
      <c r="A32" s="23" t="s">
        <v>77</v>
      </c>
    </row>
    <row r="33" spans="1:1" ht="15" customHeight="1" x14ac:dyDescent="0.3">
      <c r="A33" s="23" t="s">
        <v>39</v>
      </c>
    </row>
    <row r="34" spans="1:1" ht="15" customHeight="1" x14ac:dyDescent="0.3"/>
    <row r="35" spans="1:1" ht="15" customHeight="1" x14ac:dyDescent="0.3"/>
    <row r="36" spans="1:1" ht="15" customHeight="1" x14ac:dyDescent="0.3"/>
    <row r="37" spans="1:1" ht="15" customHeight="1" x14ac:dyDescent="0.3"/>
    <row r="38" spans="1:1" ht="15" customHeight="1" x14ac:dyDescent="0.3"/>
    <row r="39" spans="1:1" ht="15" customHeight="1" x14ac:dyDescent="0.3"/>
    <row r="40" spans="1:1" ht="15" customHeight="1" x14ac:dyDescent="0.3"/>
    <row r="41" spans="1:1" ht="15" customHeight="1" x14ac:dyDescent="0.3"/>
    <row r="42" spans="1:1" ht="15" customHeight="1" x14ac:dyDescent="0.3"/>
    <row r="43" spans="1:1" ht="15" customHeight="1" x14ac:dyDescent="0.3"/>
    <row r="44" spans="1:1" ht="15" customHeight="1" x14ac:dyDescent="0.3"/>
    <row r="45" spans="1:1" ht="15" customHeight="1" x14ac:dyDescent="0.3"/>
    <row r="46" spans="1:1" ht="15" customHeight="1" x14ac:dyDescent="0.3"/>
    <row r="47" spans="1:1" ht="15" customHeight="1" x14ac:dyDescent="0.3"/>
    <row r="48" spans="1:1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</sheetData>
  <dataConsolidate/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EE1F0-4416-42B7-B2AA-805CA74AF567}">
  <sheetPr codeName="flHäst">
    <pageSetUpPr fitToPage="1"/>
  </sheetPr>
  <dimension ref="A1:R92"/>
  <sheetViews>
    <sheetView workbookViewId="0">
      <selection activeCell="A2" sqref="A2"/>
    </sheetView>
  </sheetViews>
  <sheetFormatPr defaultColWidth="9.1796875" defaultRowHeight="12" x14ac:dyDescent="0.3"/>
  <cols>
    <col min="1" max="1" width="27" style="23" customWidth="1"/>
    <col min="2" max="15" width="8.26953125" style="23" customWidth="1"/>
    <col min="16" max="16" width="9.26953125" style="23" customWidth="1"/>
    <col min="17" max="17" width="10.1796875" style="23" customWidth="1"/>
    <col min="18" max="18" width="10" style="23" customWidth="1"/>
    <col min="19" max="16384" width="9.1796875" style="23"/>
  </cols>
  <sheetData>
    <row r="1" spans="1:18" ht="92.25" customHeight="1" x14ac:dyDescent="0.35">
      <c r="A1" s="1" t="s">
        <v>78</v>
      </c>
      <c r="B1"/>
      <c r="C1" s="1"/>
      <c r="E1"/>
      <c r="F1"/>
      <c r="G1"/>
      <c r="H1"/>
      <c r="I1"/>
      <c r="J1" s="1"/>
      <c r="K1"/>
      <c r="L1"/>
      <c r="M1"/>
      <c r="N1"/>
      <c r="O1"/>
      <c r="P1"/>
      <c r="Q1"/>
      <c r="R1" s="2"/>
    </row>
    <row r="2" spans="1:18" ht="45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6" t="s">
        <v>17</v>
      </c>
      <c r="R2" s="7" t="s">
        <v>18</v>
      </c>
    </row>
    <row r="3" spans="1:18" ht="15" customHeight="1" x14ac:dyDescent="0.35">
      <c r="A3" s="9" t="s">
        <v>62</v>
      </c>
      <c r="B3" s="10">
        <v>128</v>
      </c>
      <c r="C3" s="10">
        <v>147</v>
      </c>
      <c r="D3" s="10">
        <v>181</v>
      </c>
      <c r="E3" s="10">
        <v>230</v>
      </c>
      <c r="F3" s="11">
        <v>47</v>
      </c>
      <c r="G3" s="11">
        <v>46</v>
      </c>
      <c r="H3" s="11">
        <v>69</v>
      </c>
      <c r="I3" s="11">
        <v>89</v>
      </c>
      <c r="J3" s="10">
        <v>251</v>
      </c>
      <c r="K3" s="12">
        <v>60</v>
      </c>
      <c r="L3" s="12">
        <v>33</v>
      </c>
      <c r="M3" s="12"/>
      <c r="N3" s="12"/>
      <c r="O3" s="10">
        <v>93</v>
      </c>
      <c r="P3" s="13">
        <v>-0.28260869565217395</v>
      </c>
      <c r="Q3" s="13">
        <v>0</v>
      </c>
      <c r="R3" s="14">
        <v>0.2680115273775216</v>
      </c>
    </row>
    <row r="4" spans="1:18" ht="15" customHeight="1" x14ac:dyDescent="0.35">
      <c r="A4" s="9" t="s">
        <v>45</v>
      </c>
      <c r="B4" s="10">
        <v>116</v>
      </c>
      <c r="C4" s="10">
        <v>105</v>
      </c>
      <c r="D4" s="10">
        <v>112</v>
      </c>
      <c r="E4" s="10">
        <v>112</v>
      </c>
      <c r="F4" s="11">
        <v>19</v>
      </c>
      <c r="G4" s="11">
        <v>29</v>
      </c>
      <c r="H4" s="11">
        <v>33</v>
      </c>
      <c r="I4" s="11">
        <v>39</v>
      </c>
      <c r="J4" s="10">
        <v>120</v>
      </c>
      <c r="K4" s="12">
        <v>38</v>
      </c>
      <c r="L4" s="12">
        <v>18</v>
      </c>
      <c r="M4" s="12"/>
      <c r="N4" s="12"/>
      <c r="O4" s="10">
        <v>56</v>
      </c>
      <c r="P4" s="13">
        <v>-0.37931034482758619</v>
      </c>
      <c r="Q4" s="13">
        <v>0.16666666666666674</v>
      </c>
      <c r="R4" s="14">
        <v>0.16138328530259366</v>
      </c>
    </row>
    <row r="5" spans="1:18" ht="15" customHeight="1" x14ac:dyDescent="0.35">
      <c r="A5" s="9" t="s">
        <v>49</v>
      </c>
      <c r="B5" s="10">
        <v>37</v>
      </c>
      <c r="C5" s="10">
        <v>50</v>
      </c>
      <c r="D5" s="10">
        <v>37</v>
      </c>
      <c r="E5" s="10">
        <v>32</v>
      </c>
      <c r="F5" s="11">
        <v>10</v>
      </c>
      <c r="G5" s="11">
        <v>7</v>
      </c>
      <c r="H5" s="11">
        <v>5</v>
      </c>
      <c r="I5" s="11">
        <v>7</v>
      </c>
      <c r="J5" s="10">
        <v>29</v>
      </c>
      <c r="K5" s="12">
        <v>2</v>
      </c>
      <c r="L5" s="12">
        <v>3</v>
      </c>
      <c r="M5" s="12"/>
      <c r="N5" s="12"/>
      <c r="O5" s="10">
        <v>5</v>
      </c>
      <c r="P5" s="13">
        <v>-0.5714285714285714</v>
      </c>
      <c r="Q5" s="13">
        <v>-0.70588235294117641</v>
      </c>
      <c r="R5" s="14">
        <v>1.4409221902017291E-2</v>
      </c>
    </row>
    <row r="6" spans="1:18" ht="15" customHeight="1" x14ac:dyDescent="0.35">
      <c r="A6" s="9" t="s">
        <v>50</v>
      </c>
      <c r="B6" s="10">
        <v>78</v>
      </c>
      <c r="C6" s="10">
        <v>60</v>
      </c>
      <c r="D6" s="10">
        <v>73</v>
      </c>
      <c r="E6" s="10">
        <v>78</v>
      </c>
      <c r="F6" s="11">
        <v>21</v>
      </c>
      <c r="G6" s="11">
        <v>34</v>
      </c>
      <c r="H6" s="11">
        <v>12</v>
      </c>
      <c r="I6" s="11">
        <v>15</v>
      </c>
      <c r="J6" s="10">
        <v>82</v>
      </c>
      <c r="K6" s="12">
        <v>11</v>
      </c>
      <c r="L6" s="12">
        <v>9</v>
      </c>
      <c r="M6" s="12"/>
      <c r="N6" s="12"/>
      <c r="O6" s="10">
        <v>20</v>
      </c>
      <c r="P6" s="13">
        <v>-0.73529411764705888</v>
      </c>
      <c r="Q6" s="13">
        <v>-0.63636363636363635</v>
      </c>
      <c r="R6" s="14">
        <v>5.7636887608069162E-2</v>
      </c>
    </row>
    <row r="7" spans="1:18" ht="15" customHeight="1" x14ac:dyDescent="0.35">
      <c r="A7" s="9" t="s">
        <v>51</v>
      </c>
      <c r="B7" s="10">
        <v>263</v>
      </c>
      <c r="C7" s="10">
        <v>191</v>
      </c>
      <c r="D7" s="10">
        <v>229</v>
      </c>
      <c r="E7" s="10">
        <v>298</v>
      </c>
      <c r="F7" s="11">
        <v>86</v>
      </c>
      <c r="G7" s="11">
        <v>61</v>
      </c>
      <c r="H7" s="11">
        <v>49</v>
      </c>
      <c r="I7" s="11">
        <v>128</v>
      </c>
      <c r="J7" s="10">
        <v>324</v>
      </c>
      <c r="K7" s="12">
        <v>55</v>
      </c>
      <c r="L7" s="12">
        <v>44</v>
      </c>
      <c r="M7" s="12"/>
      <c r="N7" s="12"/>
      <c r="O7" s="10">
        <v>99</v>
      </c>
      <c r="P7" s="13">
        <v>-0.27868852459016391</v>
      </c>
      <c r="Q7" s="13">
        <v>-0.32653061224489799</v>
      </c>
      <c r="R7" s="14">
        <v>0.28530259365994237</v>
      </c>
    </row>
    <row r="8" spans="1:18" ht="15" customHeight="1" x14ac:dyDescent="0.35">
      <c r="A8" s="9" t="s">
        <v>30</v>
      </c>
      <c r="B8" s="10">
        <v>21</v>
      </c>
      <c r="C8" s="10">
        <v>18</v>
      </c>
      <c r="D8" s="10">
        <v>15</v>
      </c>
      <c r="E8" s="10">
        <v>33</v>
      </c>
      <c r="F8" s="11">
        <v>11</v>
      </c>
      <c r="G8" s="11">
        <v>9</v>
      </c>
      <c r="H8" s="11">
        <v>8</v>
      </c>
      <c r="I8" s="11">
        <v>9</v>
      </c>
      <c r="J8" s="10">
        <v>37</v>
      </c>
      <c r="K8" s="12">
        <v>14</v>
      </c>
      <c r="L8" s="12">
        <v>2</v>
      </c>
      <c r="M8" s="12"/>
      <c r="N8" s="12"/>
      <c r="O8" s="10">
        <v>16</v>
      </c>
      <c r="P8" s="13">
        <v>-0.77777777777777779</v>
      </c>
      <c r="Q8" s="13">
        <v>-0.19999999999999996</v>
      </c>
      <c r="R8" s="14">
        <v>4.6109510086455328E-2</v>
      </c>
    </row>
    <row r="9" spans="1:18" ht="15" customHeight="1" x14ac:dyDescent="0.35">
      <c r="A9" s="9" t="s">
        <v>54</v>
      </c>
      <c r="B9" s="10">
        <v>56</v>
      </c>
      <c r="C9" s="10">
        <v>30</v>
      </c>
      <c r="D9" s="10">
        <v>72</v>
      </c>
      <c r="E9" s="10">
        <v>108</v>
      </c>
      <c r="F9" s="11">
        <v>28</v>
      </c>
      <c r="G9" s="11">
        <v>25</v>
      </c>
      <c r="H9" s="11">
        <v>20</v>
      </c>
      <c r="I9" s="11">
        <v>30</v>
      </c>
      <c r="J9" s="10">
        <v>103</v>
      </c>
      <c r="K9" s="12">
        <v>17</v>
      </c>
      <c r="L9" s="12">
        <v>21</v>
      </c>
      <c r="M9" s="12"/>
      <c r="N9" s="12"/>
      <c r="O9" s="10">
        <v>38</v>
      </c>
      <c r="P9" s="13">
        <v>-0.16000000000000003</v>
      </c>
      <c r="Q9" s="13">
        <v>-0.28301886792452835</v>
      </c>
      <c r="R9" s="14">
        <v>0.10951008645533142</v>
      </c>
    </row>
    <row r="10" spans="1:18" ht="15" customHeight="1" x14ac:dyDescent="0.35">
      <c r="A10" s="9" t="s">
        <v>73</v>
      </c>
      <c r="B10" s="10">
        <v>19</v>
      </c>
      <c r="C10" s="10">
        <v>23</v>
      </c>
      <c r="D10" s="10">
        <v>24</v>
      </c>
      <c r="E10" s="10">
        <v>27</v>
      </c>
      <c r="F10" s="11">
        <v>11</v>
      </c>
      <c r="G10" s="11">
        <v>9</v>
      </c>
      <c r="H10" s="11">
        <v>2</v>
      </c>
      <c r="I10" s="11">
        <v>4</v>
      </c>
      <c r="J10" s="10">
        <v>26</v>
      </c>
      <c r="K10" s="12">
        <v>8</v>
      </c>
      <c r="L10" s="12">
        <v>3</v>
      </c>
      <c r="M10" s="12"/>
      <c r="N10" s="12"/>
      <c r="O10" s="10">
        <v>11</v>
      </c>
      <c r="P10" s="13">
        <v>-0.66666666666666674</v>
      </c>
      <c r="Q10" s="13">
        <v>-0.44999999999999996</v>
      </c>
      <c r="R10" s="14">
        <v>3.1700288184438041E-2</v>
      </c>
    </row>
    <row r="11" spans="1:18" ht="15" customHeight="1" x14ac:dyDescent="0.35">
      <c r="A11" s="9" t="s">
        <v>34</v>
      </c>
      <c r="B11" s="10">
        <v>695</v>
      </c>
      <c r="C11" s="10">
        <v>412</v>
      </c>
      <c r="D11" s="10">
        <v>300</v>
      </c>
      <c r="E11" s="10">
        <v>112</v>
      </c>
      <c r="F11" s="11">
        <v>75</v>
      </c>
      <c r="G11" s="11">
        <v>28</v>
      </c>
      <c r="H11" s="11">
        <v>45</v>
      </c>
      <c r="I11" s="11">
        <v>82</v>
      </c>
      <c r="J11" s="10">
        <v>230</v>
      </c>
      <c r="K11" s="12">
        <v>8</v>
      </c>
      <c r="L11" s="12">
        <v>1</v>
      </c>
      <c r="M11" s="12"/>
      <c r="N11" s="12"/>
      <c r="O11" s="10">
        <v>9</v>
      </c>
      <c r="P11" s="13">
        <v>-0.9642857142857143</v>
      </c>
      <c r="Q11" s="13">
        <v>-0.91262135922330101</v>
      </c>
      <c r="R11" s="14">
        <v>2.5936599423631124E-2</v>
      </c>
    </row>
    <row r="12" spans="1:18" ht="15" customHeight="1" x14ac:dyDescent="0.35">
      <c r="A12" t="s">
        <v>35</v>
      </c>
      <c r="B12" s="16">
        <f>SUBTOTAL(109,Tabell_Häst[2020])</f>
        <v>1413</v>
      </c>
      <c r="C12" s="16">
        <f>SUBTOTAL(109,Tabell_Häst[2021])</f>
        <v>1036</v>
      </c>
      <c r="D12" s="16">
        <f>SUBTOTAL(109,Tabell_Häst[2022])</f>
        <v>1043</v>
      </c>
      <c r="E12" s="16">
        <f>SUBTOTAL(109,Tabell_Häst[2023])</f>
        <v>1030</v>
      </c>
      <c r="F12" s="16">
        <f>SUBTOTAL(109,Tabell_Häst[Kvartal 1 2024])</f>
        <v>308</v>
      </c>
      <c r="G12" s="16">
        <f>SUBTOTAL(109,Tabell_Häst[Kvartal 2 2024])</f>
        <v>248</v>
      </c>
      <c r="H12" s="16">
        <f>SUBTOTAL(109,Tabell_Häst[Kvartal 3 2024])</f>
        <v>243</v>
      </c>
      <c r="I12" s="16">
        <f>SUBTOTAL(109,Tabell_Häst[Kvartal 4 2024])</f>
        <v>403</v>
      </c>
      <c r="J12" s="16">
        <f>SUBTOTAL(109,Tabell_Häst[2024])</f>
        <v>1202</v>
      </c>
      <c r="K12" s="16">
        <f>SUBTOTAL(109,Tabell_Häst[Kvartal 1 2025])</f>
        <v>213</v>
      </c>
      <c r="L12" s="16">
        <f>SUBTOTAL(109,Tabell_Häst[Kvartal 2 2025])</f>
        <v>134</v>
      </c>
      <c r="M12" s="16">
        <f>SUBTOTAL(109,Tabell_Häst[Kvartal 3 2025])</f>
        <v>0</v>
      </c>
      <c r="N12" s="16">
        <f>SUBTOTAL(109,Tabell_Häst[Kvartal 4 2025])</f>
        <v>0</v>
      </c>
      <c r="O12" s="16">
        <f>SUBTOTAL(109,Tabell_Häst[2025])</f>
        <v>347</v>
      </c>
      <c r="P12" s="17">
        <f>L12/G12-1</f>
        <v>-0.45967741935483875</v>
      </c>
      <c r="Q12" s="17">
        <f>O12/SUM(F12:G12)-1</f>
        <v>-0.37589928057553956</v>
      </c>
      <c r="R12" s="18">
        <f>SUBTOTAL(109,Tabell_Häst[Procentuell andel 2025*])</f>
        <v>1</v>
      </c>
    </row>
    <row r="13" spans="1:18" ht="15" customHeight="1" x14ac:dyDescent="0.3">
      <c r="A13" s="23" t="s">
        <v>79</v>
      </c>
    </row>
    <row r="14" spans="1:18" ht="15" customHeight="1" x14ac:dyDescent="0.3">
      <c r="A14" s="23" t="s">
        <v>37</v>
      </c>
    </row>
    <row r="15" spans="1:18" ht="15" customHeight="1" x14ac:dyDescent="0.3">
      <c r="A15" s="23" t="s">
        <v>80</v>
      </c>
    </row>
    <row r="16" spans="1:18" ht="15" customHeight="1" x14ac:dyDescent="0.3">
      <c r="A16" s="23" t="s">
        <v>39</v>
      </c>
    </row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</sheetData>
  <dataConsolidate/>
  <pageMargins left="0.70866141732283472" right="0.31496062992125984" top="0.55118110236220474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BF422-D112-4633-85A6-083D8C907BCD}">
  <sheetPr codeName="Blad1"/>
  <dimension ref="A1:H27"/>
  <sheetViews>
    <sheetView zoomScaleNormal="100" workbookViewId="0">
      <selection activeCell="A2" sqref="A2"/>
    </sheetView>
  </sheetViews>
  <sheetFormatPr defaultColWidth="9.81640625" defaultRowHeight="13" x14ac:dyDescent="0.3"/>
  <cols>
    <col min="1" max="1" width="27" style="26" customWidth="1"/>
    <col min="2" max="2" width="10.54296875" style="26" bestFit="1" customWidth="1"/>
    <col min="3" max="3" width="12.1796875" style="26" customWidth="1"/>
    <col min="4" max="5" width="10" style="26" bestFit="1" customWidth="1"/>
    <col min="6" max="6" width="8.7265625" style="26" customWidth="1"/>
    <col min="7" max="7" width="8.26953125" style="26" customWidth="1"/>
    <col min="8" max="16384" width="9.81640625" style="26"/>
  </cols>
  <sheetData>
    <row r="1" spans="1:8" s="23" customFormat="1" ht="92.25" customHeight="1" x14ac:dyDescent="0.35">
      <c r="A1" s="1" t="s">
        <v>81</v>
      </c>
      <c r="E1"/>
      <c r="F1"/>
      <c r="G1"/>
      <c r="H1"/>
    </row>
    <row r="2" spans="1:8" ht="14.5" x14ac:dyDescent="0.35">
      <c r="A2" s="24" t="s">
        <v>82</v>
      </c>
      <c r="B2" s="25" t="s">
        <v>83</v>
      </c>
      <c r="C2" s="25" t="s">
        <v>84</v>
      </c>
      <c r="D2" s="25" t="s">
        <v>85</v>
      </c>
      <c r="E2" s="25" t="s">
        <v>86</v>
      </c>
      <c r="F2" s="25" t="s">
        <v>87</v>
      </c>
      <c r="G2" s="25" t="s">
        <v>88</v>
      </c>
    </row>
    <row r="3" spans="1:8" ht="14.5" x14ac:dyDescent="0.35">
      <c r="A3" s="27">
        <v>2024</v>
      </c>
      <c r="B3" s="28">
        <v>2576464</v>
      </c>
      <c r="C3" s="28">
        <v>414188</v>
      </c>
      <c r="D3" s="28">
        <v>9943</v>
      </c>
      <c r="E3" s="28">
        <v>201486</v>
      </c>
      <c r="F3" s="28">
        <v>910</v>
      </c>
      <c r="G3" s="28">
        <v>1202</v>
      </c>
    </row>
    <row r="4" spans="1:8" ht="14.5" x14ac:dyDescent="0.35">
      <c r="A4" s="27">
        <v>2023</v>
      </c>
      <c r="B4" s="28">
        <v>2568276</v>
      </c>
      <c r="C4" s="28">
        <v>409754</v>
      </c>
      <c r="D4" s="28">
        <v>10958</v>
      </c>
      <c r="E4" s="28">
        <v>228860</v>
      </c>
      <c r="F4" s="28">
        <v>906</v>
      </c>
      <c r="G4" s="28">
        <v>1030</v>
      </c>
    </row>
    <row r="5" spans="1:8" ht="14.5" x14ac:dyDescent="0.35">
      <c r="A5" s="29">
        <v>2022</v>
      </c>
      <c r="B5" s="16">
        <v>2668928</v>
      </c>
      <c r="C5" s="16">
        <v>400216</v>
      </c>
      <c r="D5" s="16">
        <v>11474</v>
      </c>
      <c r="E5" s="16">
        <v>228822</v>
      </c>
      <c r="F5" s="16">
        <v>1058</v>
      </c>
      <c r="G5" s="16">
        <v>1043</v>
      </c>
    </row>
    <row r="6" spans="1:8" ht="14.5" x14ac:dyDescent="0.35">
      <c r="A6" s="29">
        <v>2021</v>
      </c>
      <c r="B6" s="16">
        <v>2647847</v>
      </c>
      <c r="C6" s="16">
        <v>399962</v>
      </c>
      <c r="D6" s="16">
        <v>11499</v>
      </c>
      <c r="E6" s="16">
        <v>230120</v>
      </c>
      <c r="F6" s="16">
        <v>687</v>
      </c>
      <c r="G6" s="16">
        <v>1036</v>
      </c>
    </row>
    <row r="7" spans="1:8" ht="14.5" x14ac:dyDescent="0.35">
      <c r="A7" s="29">
        <v>2020</v>
      </c>
      <c r="B7" s="16">
        <v>2617581</v>
      </c>
      <c r="C7" s="16">
        <v>420198</v>
      </c>
      <c r="D7" s="16">
        <v>13468</v>
      </c>
      <c r="E7" s="16">
        <v>240517</v>
      </c>
      <c r="F7" s="16">
        <v>779</v>
      </c>
      <c r="G7" s="16">
        <v>1413</v>
      </c>
    </row>
    <row r="8" spans="1:8" ht="14.5" x14ac:dyDescent="0.35">
      <c r="A8" s="29">
        <v>2019</v>
      </c>
      <c r="B8" s="16">
        <v>2568189</v>
      </c>
      <c r="C8" s="16">
        <v>417043</v>
      </c>
      <c r="D8" s="16">
        <v>14891</v>
      </c>
      <c r="E8" s="16">
        <v>251708</v>
      </c>
      <c r="F8" s="16">
        <v>1198</v>
      </c>
      <c r="G8" s="16">
        <v>1712</v>
      </c>
    </row>
    <row r="9" spans="1:8" ht="14.5" x14ac:dyDescent="0.35">
      <c r="A9" s="29">
        <v>2018</v>
      </c>
      <c r="B9" s="16">
        <v>2640842</v>
      </c>
      <c r="C9" s="16">
        <v>409407</v>
      </c>
      <c r="D9" s="16">
        <v>15460</v>
      </c>
      <c r="E9" s="16">
        <v>280955</v>
      </c>
      <c r="F9" s="16">
        <v>1140</v>
      </c>
      <c r="G9" s="16">
        <v>1982</v>
      </c>
    </row>
    <row r="10" spans="1:8" ht="14.5" x14ac:dyDescent="0.35">
      <c r="A10" s="29">
        <v>2017</v>
      </c>
      <c r="B10" s="16">
        <v>2573461</v>
      </c>
      <c r="C10" s="16">
        <v>390996</v>
      </c>
      <c r="D10" s="16">
        <v>14399</v>
      </c>
      <c r="E10" s="16">
        <v>262396</v>
      </c>
      <c r="F10" s="16">
        <v>982</v>
      </c>
      <c r="G10" s="16">
        <v>2134</v>
      </c>
    </row>
    <row r="11" spans="1:8" ht="14.5" x14ac:dyDescent="0.35">
      <c r="A11" s="29">
        <v>2016</v>
      </c>
      <c r="B11" s="16">
        <v>2526661</v>
      </c>
      <c r="C11" s="16">
        <v>394932</v>
      </c>
      <c r="D11" s="16">
        <v>16256</v>
      </c>
      <c r="E11" s="16">
        <v>251448</v>
      </c>
      <c r="F11" s="16">
        <v>1138</v>
      </c>
      <c r="G11" s="16">
        <v>2488</v>
      </c>
    </row>
    <row r="12" spans="1:8" ht="14.5" x14ac:dyDescent="0.35">
      <c r="A12" s="29">
        <v>2015</v>
      </c>
      <c r="B12" s="16">
        <v>2554885</v>
      </c>
      <c r="C12" s="16">
        <v>406628</v>
      </c>
      <c r="D12" s="16">
        <v>21889</v>
      </c>
      <c r="E12" s="16">
        <v>256402</v>
      </c>
      <c r="F12" s="16">
        <v>1166</v>
      </c>
      <c r="G12" s="16">
        <v>2862</v>
      </c>
    </row>
    <row r="13" spans="1:8" ht="14.5" x14ac:dyDescent="0.35">
      <c r="A13" s="29">
        <v>2014</v>
      </c>
      <c r="B13" s="16">
        <v>2567911</v>
      </c>
      <c r="C13" s="16">
        <v>406088</v>
      </c>
      <c r="D13" s="16">
        <v>25739</v>
      </c>
      <c r="E13" s="16">
        <v>257808</v>
      </c>
      <c r="F13" s="16">
        <v>875</v>
      </c>
      <c r="G13" s="16">
        <v>3646</v>
      </c>
    </row>
    <row r="14" spans="1:8" ht="14.5" x14ac:dyDescent="0.35">
      <c r="A14" s="29">
        <v>2013</v>
      </c>
      <c r="B14" s="16">
        <v>2555848</v>
      </c>
      <c r="C14" s="16">
        <v>391347</v>
      </c>
      <c r="D14" s="16">
        <v>27091</v>
      </c>
      <c r="E14" s="16">
        <v>253097</v>
      </c>
      <c r="F14" s="16">
        <v>996</v>
      </c>
      <c r="G14" s="16">
        <v>4012</v>
      </c>
    </row>
    <row r="15" spans="1:8" ht="14.5" x14ac:dyDescent="0.35">
      <c r="A15" s="29">
        <v>2012</v>
      </c>
      <c r="B15" s="16">
        <v>2591862</v>
      </c>
      <c r="C15" s="16">
        <v>391826</v>
      </c>
      <c r="D15" s="16">
        <v>29133</v>
      </c>
      <c r="E15" s="16">
        <v>260521</v>
      </c>
      <c r="F15" s="16">
        <v>898</v>
      </c>
      <c r="G15" s="16">
        <v>4359</v>
      </c>
    </row>
    <row r="16" spans="1:8" ht="14.5" x14ac:dyDescent="0.35">
      <c r="A16" s="29">
        <v>2011</v>
      </c>
      <c r="B16" s="16">
        <v>2854837</v>
      </c>
      <c r="C16" s="16">
        <v>430061</v>
      </c>
      <c r="D16" s="16">
        <v>27188</v>
      </c>
      <c r="E16" s="16">
        <v>261993</v>
      </c>
      <c r="F16" s="16">
        <v>738</v>
      </c>
      <c r="G16" s="16">
        <v>4507</v>
      </c>
    </row>
    <row r="17" spans="1:7" ht="14.5" x14ac:dyDescent="0.35">
      <c r="A17" s="29">
        <v>2010</v>
      </c>
      <c r="B17" s="16">
        <v>2946689</v>
      </c>
      <c r="C17" s="16">
        <v>425664</v>
      </c>
      <c r="D17" s="16">
        <v>26655</v>
      </c>
      <c r="E17" s="16">
        <v>254909</v>
      </c>
      <c r="F17" s="16">
        <v>490</v>
      </c>
      <c r="G17" s="16">
        <v>3969</v>
      </c>
    </row>
    <row r="18" spans="1:7" ht="14.5" x14ac:dyDescent="0.35">
      <c r="A18" s="29">
        <v>2009</v>
      </c>
      <c r="B18" s="16">
        <v>2956412</v>
      </c>
      <c r="C18" s="16">
        <v>429526</v>
      </c>
      <c r="D18" s="16">
        <v>29425</v>
      </c>
      <c r="E18" s="16">
        <v>255072</v>
      </c>
      <c r="F18" s="16">
        <v>782</v>
      </c>
      <c r="G18" s="16">
        <v>3814</v>
      </c>
    </row>
    <row r="19" spans="1:7" ht="14.5" x14ac:dyDescent="0.35">
      <c r="A19" s="29">
        <v>2008</v>
      </c>
      <c r="B19" s="16">
        <v>3072441</v>
      </c>
      <c r="C19" s="16">
        <v>401597</v>
      </c>
      <c r="D19" s="16">
        <v>28661</v>
      </c>
      <c r="E19" s="16">
        <v>235031</v>
      </c>
      <c r="F19" s="16">
        <v>741</v>
      </c>
      <c r="G19" s="16">
        <v>3496</v>
      </c>
    </row>
    <row r="20" spans="1:7" ht="14.5" x14ac:dyDescent="0.35">
      <c r="A20" s="29">
        <v>2007</v>
      </c>
      <c r="B20" s="16">
        <v>3003777</v>
      </c>
      <c r="C20" s="16">
        <v>419408</v>
      </c>
      <c r="D20" s="16">
        <v>30124</v>
      </c>
      <c r="E20" s="16">
        <v>230975</v>
      </c>
      <c r="F20" s="16">
        <v>515</v>
      </c>
      <c r="G20" s="16">
        <v>2995</v>
      </c>
    </row>
    <row r="21" spans="1:7" ht="14.5" x14ac:dyDescent="0.35">
      <c r="A21" s="29">
        <v>2006</v>
      </c>
      <c r="B21" s="16">
        <v>3022036</v>
      </c>
      <c r="C21" s="16">
        <v>431679</v>
      </c>
      <c r="D21" s="16">
        <v>32425</v>
      </c>
      <c r="E21" s="16">
        <v>212854</v>
      </c>
      <c r="F21" s="16">
        <v>581</v>
      </c>
      <c r="G21" s="16">
        <v>3021</v>
      </c>
    </row>
    <row r="22" spans="1:7" ht="14.5" x14ac:dyDescent="0.35">
      <c r="A22" s="29">
        <v>2005</v>
      </c>
      <c r="B22" s="16">
        <v>3159941</v>
      </c>
      <c r="C22" s="16">
        <v>433044</v>
      </c>
      <c r="D22" s="16">
        <v>33036</v>
      </c>
      <c r="E22" s="16">
        <v>205983</v>
      </c>
      <c r="F22" s="16">
        <v>247</v>
      </c>
      <c r="G22" s="16">
        <v>3521</v>
      </c>
    </row>
    <row r="23" spans="1:7" ht="14.5" x14ac:dyDescent="0.35">
      <c r="A23" s="29">
        <v>2004</v>
      </c>
      <c r="B23" s="16">
        <v>3364833</v>
      </c>
      <c r="C23" s="16">
        <v>458016</v>
      </c>
      <c r="D23" s="16">
        <v>33868</v>
      </c>
      <c r="E23" s="16">
        <v>193241</v>
      </c>
      <c r="F23" s="16">
        <v>251</v>
      </c>
      <c r="G23" s="16">
        <v>5042</v>
      </c>
    </row>
    <row r="24" spans="1:7" ht="14.5" x14ac:dyDescent="0.35">
      <c r="A24" s="29">
        <v>2003</v>
      </c>
      <c r="B24" s="16">
        <v>3304939</v>
      </c>
      <c r="C24" s="16">
        <v>454222</v>
      </c>
      <c r="D24" s="16">
        <v>31536</v>
      </c>
      <c r="E24" s="16">
        <v>192432</v>
      </c>
      <c r="F24" s="16">
        <v>298</v>
      </c>
      <c r="G24" s="16">
        <v>5349</v>
      </c>
    </row>
    <row r="25" spans="1:7" ht="14.5" x14ac:dyDescent="0.35">
      <c r="A25" s="29">
        <v>2002</v>
      </c>
      <c r="B25" s="16">
        <v>3282338</v>
      </c>
      <c r="C25" s="16">
        <v>472928</v>
      </c>
      <c r="D25" s="16">
        <v>33831</v>
      </c>
      <c r="E25" s="16">
        <v>197278</v>
      </c>
      <c r="F25" s="16">
        <v>489</v>
      </c>
      <c r="G25" s="16">
        <v>5454</v>
      </c>
    </row>
    <row r="26" spans="1:7" ht="14.5" x14ac:dyDescent="0.35">
      <c r="A26" s="29">
        <v>2001</v>
      </c>
      <c r="B26" s="16">
        <v>3197296</v>
      </c>
      <c r="C26" s="16">
        <v>464032</v>
      </c>
      <c r="D26" s="16">
        <v>34290</v>
      </c>
      <c r="E26" s="16">
        <v>197343</v>
      </c>
      <c r="F26" s="16">
        <v>405</v>
      </c>
      <c r="G26" s="16">
        <v>5173</v>
      </c>
    </row>
    <row r="27" spans="1:7" ht="15" thickBot="1" x14ac:dyDescent="0.4">
      <c r="A27" s="30">
        <v>2000</v>
      </c>
      <c r="B27" s="31">
        <v>3256929</v>
      </c>
      <c r="C27" s="31">
        <v>490169</v>
      </c>
      <c r="D27" s="31">
        <v>39068</v>
      </c>
      <c r="E27" s="31">
        <v>203836</v>
      </c>
      <c r="F27" s="31">
        <v>391</v>
      </c>
      <c r="G27" s="31">
        <v>5448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Gris</vt:lpstr>
      <vt:lpstr>Storboskap</vt:lpstr>
      <vt:lpstr>Kalv</vt:lpstr>
      <vt:lpstr>Får och lamm</vt:lpstr>
      <vt:lpstr>Häst</vt:lpstr>
      <vt:lpstr>Årshistorik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Kvartalsstatistik för godkänd slakt kvartal 2 år 2025</dc:title>
  <dc:creator>Jordbruksverket</dc:creator>
  <cp:keywords>Storboskap, Kalv, Gris, Får och lamm, Häst, Årshistorik,</cp:keywords>
  <cp:lastModifiedBy>Lisa Andersson</cp:lastModifiedBy>
  <dcterms:created xsi:type="dcterms:W3CDTF">2025-08-22T13:48:21Z</dcterms:created>
  <dcterms:modified xsi:type="dcterms:W3CDTF">2025-08-22T14:23:43Z</dcterms:modified>
</cp:coreProperties>
</file>