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Enhet\Kontrollenheter\Kontrollområden\Köttklassning\Planering, uppföljning och statistik\Statistik\Kvartalsstatistik\2026\"/>
    </mc:Choice>
  </mc:AlternateContent>
  <xr:revisionPtr revIDLastSave="0" documentId="8_{B7060CA9-B07B-40FA-A226-3C0D674CC19B}" xr6:coauthVersionLast="47" xr6:coauthVersionMax="47" xr10:uidLastSave="{00000000-0000-0000-0000-000000000000}"/>
  <bookViews>
    <workbookView xWindow="-120" yWindow="-120" windowWidth="29040" windowHeight="15720" xr2:uid="{F872E42A-FC92-433D-B7F6-9598BF85059D}"/>
  </bookViews>
  <sheets>
    <sheet name="Gris" sheetId="1" r:id="rId1"/>
    <sheet name="Kalv" sheetId="2" r:id="rId2"/>
    <sheet name="Storboskap" sheetId="3" r:id="rId3"/>
    <sheet name="Får och lamm" sheetId="4" r:id="rId4"/>
    <sheet name="Häst" sheetId="5" r:id="rId5"/>
    <sheet name="Årshistorik" sheetId="6" r:id="rId6"/>
  </sheets>
  <externalReferences>
    <externalReference r:id="rId7"/>
  </externalReferences>
  <definedNames>
    <definedName name="rngAvbugga">[1]Instruktion!$K$9</definedName>
    <definedName name="rngMedgivande">[1]Instruktion!$K$12</definedName>
    <definedName name="rngTidstämpel">[1]Instruktion!#REF!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13" i="5" l="1"/>
  <c r="O13" i="5"/>
  <c r="Q13" i="5" s="1"/>
  <c r="N13" i="5"/>
  <c r="M13" i="5"/>
  <c r="L13" i="5"/>
  <c r="P13" i="5" s="1"/>
  <c r="K13" i="5"/>
  <c r="J13" i="5"/>
  <c r="I13" i="5"/>
  <c r="H13" i="5"/>
  <c r="G13" i="5"/>
  <c r="F13" i="5"/>
  <c r="E13" i="5"/>
  <c r="D13" i="5"/>
  <c r="C13" i="5"/>
  <c r="B13" i="5"/>
  <c r="R29" i="4"/>
  <c r="O29" i="4"/>
  <c r="Q29" i="4" s="1"/>
  <c r="N29" i="4"/>
  <c r="M29" i="4"/>
  <c r="L29" i="4"/>
  <c r="P29" i="4" s="1"/>
  <c r="K29" i="4"/>
  <c r="J29" i="4"/>
  <c r="I29" i="4"/>
  <c r="H29" i="4"/>
  <c r="G29" i="4"/>
  <c r="F29" i="4"/>
  <c r="E29" i="4"/>
  <c r="D29" i="4"/>
  <c r="C29" i="4"/>
  <c r="B29" i="4"/>
  <c r="R29" i="3"/>
  <c r="O29" i="3"/>
  <c r="Q29" i="3" s="1"/>
  <c r="N29" i="3"/>
  <c r="M29" i="3"/>
  <c r="L29" i="3"/>
  <c r="P29" i="3" s="1"/>
  <c r="K29" i="3"/>
  <c r="J29" i="3"/>
  <c r="I29" i="3"/>
  <c r="H29" i="3"/>
  <c r="G29" i="3"/>
  <c r="F29" i="3"/>
  <c r="E29" i="3"/>
  <c r="D29" i="3"/>
  <c r="C29" i="3"/>
  <c r="B29" i="3"/>
  <c r="R24" i="2"/>
  <c r="O24" i="2"/>
  <c r="Q24" i="2" s="1"/>
  <c r="N24" i="2"/>
  <c r="M24" i="2"/>
  <c r="L24" i="2"/>
  <c r="P24" i="2" s="1"/>
  <c r="K24" i="2"/>
  <c r="J24" i="2"/>
  <c r="I24" i="2"/>
  <c r="H24" i="2"/>
  <c r="G24" i="2"/>
  <c r="F24" i="2"/>
  <c r="E24" i="2"/>
  <c r="D24" i="2"/>
  <c r="C24" i="2"/>
  <c r="B24" i="2"/>
  <c r="R19" i="1"/>
  <c r="O19" i="1"/>
  <c r="Q19" i="1" s="1"/>
  <c r="N19" i="1"/>
  <c r="M19" i="1"/>
  <c r="L19" i="1"/>
  <c r="P19" i="1" s="1"/>
  <c r="K19" i="1"/>
  <c r="J19" i="1"/>
  <c r="I19" i="1"/>
  <c r="H19" i="1"/>
  <c r="G19" i="1"/>
  <c r="F19" i="1"/>
  <c r="E19" i="1"/>
  <c r="D19" i="1"/>
  <c r="C19" i="1"/>
  <c r="B19" i="1"/>
</calcChain>
</file>

<file path=xl/sharedStrings.xml><?xml version="1.0" encoding="utf-8"?>
<sst xmlns="http://schemas.openxmlformats.org/spreadsheetml/2006/main" count="234" uniqueCount="89">
  <si>
    <t>Antal slaktade grisar, uppdaterad kvartal 2 2026</t>
  </si>
  <si>
    <t>Anläggning</t>
  </si>
  <si>
    <t>2021</t>
  </si>
  <si>
    <t>2022</t>
  </si>
  <si>
    <t>2023</t>
  </si>
  <si>
    <t>2024</t>
  </si>
  <si>
    <t>Kvartal 1 2025</t>
  </si>
  <si>
    <t>Kvartal 2 2025</t>
  </si>
  <si>
    <t>Kvartal 3 2025</t>
  </si>
  <si>
    <t>Kvartal 4 2025</t>
  </si>
  <si>
    <t>2025</t>
  </si>
  <si>
    <t>Kvartal 1 2026</t>
  </si>
  <si>
    <t>Kvartal 2 2026</t>
  </si>
  <si>
    <t>Kvartal 3 2026</t>
  </si>
  <si>
    <t>Kvartal 4 2026</t>
  </si>
  <si>
    <t>2026</t>
  </si>
  <si>
    <t>Förändring kv 2 från 2025-2026</t>
  </si>
  <si>
    <t>Förändring kv 1-2 från 2025–2026</t>
  </si>
  <si>
    <t>Procentuell andel 2026*</t>
  </si>
  <si>
    <t>Alviksgården Lantbruks AB</t>
  </si>
  <si>
    <t>Brantestads Gårdsslakteri</t>
  </si>
  <si>
    <t>Dahlbergs Slakteri AB</t>
  </si>
  <si>
    <t>Ginsten Slakteri</t>
  </si>
  <si>
    <t>Ickholmens slakteri</t>
  </si>
  <si>
    <t>KLS Ugglarps AB Dalsjöfors</t>
  </si>
  <si>
    <t>KLS Ugglarps AB Kalmar</t>
  </si>
  <si>
    <t>KLS Ugglarps AB, Trelleborg</t>
  </si>
  <si>
    <t>Lindells Gårdsslakteri</t>
  </si>
  <si>
    <t>Lövsta Kött AB</t>
  </si>
  <si>
    <t>Protos AB, Visby</t>
  </si>
  <si>
    <t>Ragnar Johanssons Kött o Chark AB</t>
  </si>
  <si>
    <t>Roslagens Slakt och Chark AB</t>
  </si>
  <si>
    <t>Scan, Kristianstad</t>
  </si>
  <si>
    <t>Skövde Slakteri</t>
  </si>
  <si>
    <t>Övriga</t>
  </si>
  <si>
    <t>Total svensk slakt</t>
  </si>
  <si>
    <t>Tabellen visar 15 av de 41 slakterier som har slaktat grisar under 2026. Källa: Jordbruksverket</t>
  </si>
  <si>
    <t>Sammanställningen utgår från slakteriernas veckorapportering till Jordbruksverket och visar antal slaktade djur som godkänts som livsmedel</t>
  </si>
  <si>
    <t>Ingående kategorier: Samtliga djur av djurslaget svin inklusive suggor och galtar</t>
  </si>
  <si>
    <t>*Den procentuella andelen av slakten utgår från anläggning, inte företag. Det förekommer att slakteriföretag legoslaktar åt varandra.</t>
  </si>
  <si>
    <t>Antal slaktade kalvar, uppdaterad kvartal 2 2026</t>
  </si>
  <si>
    <t>Bassholma slakteri AB</t>
  </si>
  <si>
    <t>─</t>
  </si>
  <si>
    <t>Bjursunds Slakteri AB</t>
  </si>
  <si>
    <t>-</t>
  </si>
  <si>
    <t>Bäsinge Slakteri AB</t>
  </si>
  <si>
    <t>–</t>
  </si>
  <si>
    <t>Delsbo Slakteri</t>
  </si>
  <si>
    <t>Ello i Lammhult AB</t>
  </si>
  <si>
    <t>Faringe Kött &amp; Slakt AB</t>
  </si>
  <si>
    <t>Jämtlandsgården Livsmedel AB</t>
  </si>
  <si>
    <t>KLS Ugglarps AB, Hörby</t>
  </si>
  <si>
    <t>Norrbottensgården Slakteri AB</t>
  </si>
  <si>
    <t>Närkes Slakteri</t>
  </si>
  <si>
    <t>Scan, Linköping</t>
  </si>
  <si>
    <t>Skånska Vilt AB</t>
  </si>
  <si>
    <t>Varekils Slakteri AB</t>
  </si>
  <si>
    <t>Tabellen visar 20 av de 32 slakterier som har slaktat kalvar under 2026. Källa: Jordbruksverket</t>
  </si>
  <si>
    <t>Ingående kategorier: späd-, göd-, och mellankalv</t>
  </si>
  <si>
    <t>Antal slaktade storboskap, uppdaterad kvartal 2 2026</t>
  </si>
  <si>
    <t>Almunge Kött</t>
  </si>
  <si>
    <t>Mostorps Gård AB</t>
  </si>
  <si>
    <t>Nyhléns Hugosons AB - Ullånger</t>
  </si>
  <si>
    <t>PP Slakt AB</t>
  </si>
  <si>
    <t>Sörby Slakteri</t>
  </si>
  <si>
    <t>Tabellen visar 25 av de 57 slakterier som har slaktat storboskap under 2026. Källa: Jordbruksverket</t>
  </si>
  <si>
    <t>Ingående kategorier: Samtliga nötkreatur utom späd-, göd-, och mellankalv</t>
  </si>
  <si>
    <t>Antal slaktade får och lamm, uppdaterad kvartal 2 2026</t>
  </si>
  <si>
    <t>Appeltorps Lamm o Vilt</t>
  </si>
  <si>
    <t>Ljungskile Kött AB</t>
  </si>
  <si>
    <t>Skara Lammslakteri AB</t>
  </si>
  <si>
    <t>Sörgården Gårdsbutik&amp;slakteri</t>
  </si>
  <si>
    <t>Vikbolands Kött</t>
  </si>
  <si>
    <t>Västerslät</t>
  </si>
  <si>
    <t>Öströö Fårfarm AB</t>
  </si>
  <si>
    <t>Tabellen visar 25 av de 48 slakterier som har slaktat får och lamm under 2026. Källa: Jordbruksverket</t>
  </si>
  <si>
    <t>Ingående kategorier: Samtliga får och lamm</t>
  </si>
  <si>
    <t>Antal slaktade hästar, uppdaterad kvartal 2 2026</t>
  </si>
  <si>
    <t>Stora Skedvi Slakt &amp; Styckservice</t>
  </si>
  <si>
    <t>Tabellen visar 9 av de 16 slakterier som har slaktat hästar under 2026. Källa: Jordbruksverket</t>
  </si>
  <si>
    <t>Ingående kategorier: Samtliga hästar</t>
  </si>
  <si>
    <t>Godkänd slakt, antal djur per år</t>
  </si>
  <si>
    <t>År</t>
  </si>
  <si>
    <t>Svin</t>
  </si>
  <si>
    <t>Storboskap</t>
  </si>
  <si>
    <t>Kalv</t>
  </si>
  <si>
    <t>Får</t>
  </si>
  <si>
    <t>Häst</t>
  </si>
  <si>
    <t>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</si>
</sst>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\+0%;\-0%"/>
    <numFmt numFmtId="166" formatCode="#,#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EF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2" borderId="0" xfId="0" applyFill="1" applyAlignment="1">
      <alignment horizontal="right" wrapText="1"/>
    </xf>
    <xf numFmtId="164" fontId="3" fillId="0" borderId="0" xfId="1" applyNumberFormat="1" applyFont="1" applyFill="1" applyBorder="1" applyAlignment="1">
      <alignment horizontal="right" wrapText="1"/>
    </xf>
    <xf numFmtId="164" fontId="3" fillId="0" borderId="0" xfId="1" applyNumberFormat="1" applyFont="1" applyFill="1" applyBorder="1" applyAlignment="1">
      <alignment horizontal="center" wrapText="1"/>
    </xf>
    <xf numFmtId="164" fontId="1" fillId="0" borderId="0" xfId="0" applyNumberFormat="1" applyFont="1" applyAlignment="1">
      <alignment wrapText="1"/>
    </xf>
    <xf numFmtId="0" fontId="4" fillId="0" borderId="0" xfId="0" applyFont="1"/>
    <xf numFmtId="3" fontId="0" fillId="0" borderId="0" xfId="0" applyNumberFormat="1"/>
    <xf numFmtId="3" fontId="0" fillId="3" borderId="0" xfId="0" applyNumberFormat="1" applyFill="1"/>
    <xf numFmtId="3" fontId="0" fillId="4" borderId="0" xfId="0" applyNumberFormat="1" applyFill="1"/>
    <xf numFmtId="165" fontId="0" fillId="0" borderId="0" xfId="0" applyNumberFormat="1" applyAlignment="1">
      <alignment horizontal="right"/>
    </xf>
    <xf numFmtId="9" fontId="0" fillId="0" borderId="0" xfId="0" applyNumberFormat="1"/>
    <xf numFmtId="166" fontId="3" fillId="0" borderId="0" xfId="0" applyNumberFormat="1" applyFont="1"/>
    <xf numFmtId="165" fontId="0" fillId="0" borderId="0" xfId="0" applyNumberFormat="1"/>
    <xf numFmtId="3" fontId="4" fillId="0" borderId="0" xfId="0" applyNumberFormat="1" applyFont="1"/>
    <xf numFmtId="3" fontId="4" fillId="3" borderId="0" xfId="0" applyNumberFormat="1" applyFont="1" applyFill="1"/>
    <xf numFmtId="3" fontId="4" fillId="4" borderId="0" xfId="0" applyNumberFormat="1" applyFont="1" applyFill="1"/>
    <xf numFmtId="165" fontId="4" fillId="0" borderId="0" xfId="0" applyNumberFormat="1" applyFont="1"/>
    <xf numFmtId="165" fontId="4" fillId="0" borderId="0" xfId="0" applyNumberFormat="1" applyFont="1" applyAlignment="1">
      <alignment horizontal="right"/>
    </xf>
    <xf numFmtId="9" fontId="4" fillId="0" borderId="0" xfId="0" applyNumberFormat="1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9" fontId="3" fillId="0" borderId="0" xfId="1" applyFont="1"/>
  </cellXfs>
  <cellStyles count="2">
    <cellStyle name="Normal" xfId="0" builtinId="0"/>
    <cellStyle name="Procent" xfId="1" builtinId="5"/>
  </cellStyles>
  <dxfs count="201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fill>
        <patternFill patternType="none">
          <fgColor indexed="64"/>
          <bgColor indexed="65"/>
        </patternFill>
      </fill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\+0%;\-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5" formatCode="\+0%;\-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\+0%;\-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5" formatCode="\+0%;\-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0.0%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fill>
        <patternFill patternType="none">
          <fgColor indexed="64"/>
          <bgColor indexed="65"/>
        </patternFill>
      </fill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\+0%;\-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5" formatCode="\+0%;\-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\+0%;\-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5" formatCode="\+0%;\-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  <fill>
        <patternFill patternType="none">
          <fgColor indexed="64"/>
          <bgColor auto="1"/>
        </patternFill>
      </fill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\+0%;\-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5" formatCode="\+0%;\-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\+0%;\-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5" formatCode="\+0%;\-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0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%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  <fill>
        <patternFill patternType="none">
          <fgColor indexed="64"/>
          <bgColor auto="1"/>
        </patternFill>
      </fill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\+0%;\-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5" formatCode="\+0%;\-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\+0%;\-0%"/>
      <fill>
        <patternFill patternType="none">
          <fgColor indexed="64"/>
          <bgColor indexed="65"/>
        </patternFill>
      </fill>
    </dxf>
    <dxf>
      <numFmt numFmtId="165" formatCode="\+0%;\-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</dxf>
    <dxf>
      <numFmt numFmtId="3" formatCode="#,##0"/>
    </dxf>
    <dxf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0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fill>
        <patternFill patternType="none">
          <fgColor indexed="64"/>
          <bgColor indexed="65"/>
        </patternFill>
      </fill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\+0%;\-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165" formatCode="\+0%;\-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\+0%;\-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165" formatCode="\+0%;\-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rgb="FFFEFEFE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>
        <left/>
        <right/>
        <top style="thin">
          <color theme="9" tint="0.59996337778862885"/>
        </top>
        <bottom style="thin">
          <color theme="9" tint="0.59996337778862885"/>
        </bottom>
        <vertical/>
        <horizontal style="thin">
          <color theme="9" tint="0.59996337778862885"/>
        </horizontal>
      </border>
    </dxf>
    <dxf>
      <fill>
        <patternFill>
          <bgColor theme="9" tint="0.79998168889431442"/>
        </patternFill>
      </fill>
      <border diagonalUp="0" diagonalDown="0">
        <left/>
        <right/>
        <top style="thin">
          <color theme="9" tint="0.59996337778862885"/>
        </top>
        <bottom style="thin">
          <color theme="9" tint="0.59996337778862885"/>
        </bottom>
        <vertical/>
        <horizontal style="thin">
          <color theme="9" tint="0.59996337778862885"/>
        </horizontal>
      </border>
    </dxf>
    <dxf>
      <font>
        <b/>
        <color theme="1"/>
      </font>
      <border>
        <right/>
      </border>
    </dxf>
    <dxf>
      <font>
        <b/>
        <color theme="1"/>
      </font>
    </dxf>
    <dxf>
      <font>
        <b/>
        <color theme="1"/>
      </font>
      <border>
        <left/>
        <right/>
        <top style="double">
          <color auto="1"/>
        </top>
        <bottom style="medium">
          <color auto="1"/>
        </bottom>
        <vertical/>
      </border>
    </dxf>
    <dxf>
      <font>
        <b/>
        <color theme="1"/>
      </font>
      <border>
        <left/>
        <right/>
        <top style="medium">
          <color auto="1"/>
        </top>
        <bottom style="medium">
          <color auto="1"/>
        </bottom>
        <vertical/>
      </border>
    </dxf>
    <dxf>
      <font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</dxfs>
  <tableStyles count="1" defaultTableStyle="TableStyleMedium2" defaultPivotStyle="PivotStyleLight16">
    <tableStyle name="Kvartalsstatistik" pivot="0" count="9" xr9:uid="{AAC28FF2-B5AD-447F-9EF4-53D463594A24}">
      <tableStyleElement type="wholeTable" dxfId="200"/>
      <tableStyleElement type="headerRow" dxfId="199"/>
      <tableStyleElement type="totalRow" dxfId="198"/>
      <tableStyleElement type="firstColumn" dxfId="197"/>
      <tableStyleElement type="lastColumn" dxfId="196"/>
      <tableStyleElement type="firstRowStripe" dxfId="195"/>
      <tableStyleElement type="secondRowStripe" dxfId="194"/>
      <tableStyleElement type="firstColumnStripe" dxfId="193"/>
      <tableStyleElement type="secondColumnStripe" dxfId="19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Enhet\Kontrollenheter\Kontrollomr&#229;den\K&#246;ttklassning\Planering,%20uppf&#246;ljning%20och%20statistik\Statistik\Kvartalsstatistik\2026\Kvartalsstatistik%202026.xlsm" TargetMode="External"/><Relationship Id="rId1" Type="http://schemas.openxmlformats.org/officeDocument/2006/relationships/externalLinkPath" Target="Kvartalsstatistik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ktion"/>
      <sheetName val="DAWA-underlag"/>
      <sheetName val="Urval"/>
      <sheetName val="Äldre underlag"/>
      <sheetName val="Gris"/>
      <sheetName val="Kalv"/>
      <sheetName val="Storboskap"/>
      <sheetName val="Får och lamm"/>
      <sheetName val="Get"/>
      <sheetName val="Häst"/>
      <sheetName val="Årshistorik"/>
      <sheetName val="Diagram"/>
    </sheetNames>
    <sheetDataSet>
      <sheetData sheetId="0">
        <row r="12">
          <cell r="K12" t="str">
            <v>Medger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17008C-DFF9-4C3F-AB9E-6442A6F4E3DE}" name="Tabell_Gris" displayName="Tabell_Gris" ref="A2:R19" totalsRowCount="1">
  <autoFilter ref="A2:R18" xr:uid="{00000000-0009-0000-0100-00000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15D4DCA3-6EE1-43A6-B40D-9F388D0B64EE}" name="Anläggning" totalsRowLabel="Total svensk slakt" dataDxfId="191"/>
    <tableColumn id="19" xr3:uid="{B0C52FF7-7504-4D49-B0E9-0F20B3011B9C}" name="2021" totalsRowFunction="sum" dataDxfId="189" totalsRowDxfId="190"/>
    <tableColumn id="20" xr3:uid="{1EF4014D-91AE-4A8C-91B6-0D5F496CBFAE}" name="2022" totalsRowFunction="sum" dataDxfId="187" totalsRowDxfId="188"/>
    <tableColumn id="21" xr3:uid="{A7DEFEFC-D5E7-4147-AAA3-F1AC2B820DEE}" name="2023" totalsRowFunction="sum" dataDxfId="185" totalsRowDxfId="186"/>
    <tableColumn id="22" xr3:uid="{13B1884D-804F-4F49-92C5-BEBB2DCAA897}" name="2024" totalsRowFunction="sum" dataDxfId="183" totalsRowDxfId="184"/>
    <tableColumn id="2" xr3:uid="{6D45351D-168F-4282-A144-3F002A98AE92}" name="Kvartal 1 2025" totalsRowFunction="sum" dataDxfId="181" totalsRowDxfId="182"/>
    <tableColumn id="3" xr3:uid="{CFA42DFC-AC78-4EFB-82B7-8F2B1CB34256}" name="Kvartal 2 2025" totalsRowFunction="sum" dataDxfId="179" totalsRowDxfId="180"/>
    <tableColumn id="4" xr3:uid="{AC1195D3-4087-49CE-BC7B-7AF677949CF9}" name="Kvartal 3 2025" totalsRowFunction="sum" dataDxfId="177" totalsRowDxfId="178"/>
    <tableColumn id="5" xr3:uid="{65B9E193-9B82-418E-94E6-6A67EFF089D3}" name="Kvartal 4 2025" totalsRowFunction="sum" dataDxfId="175" totalsRowDxfId="176"/>
    <tableColumn id="6" xr3:uid="{3F367866-5F58-4687-8AC8-467FBDCE79F3}" name="2025" totalsRowFunction="sum" dataDxfId="173" totalsRowDxfId="174"/>
    <tableColumn id="7" xr3:uid="{20D08840-912E-47B2-98FE-17AE6A53F10F}" name="Kvartal 1 2026" totalsRowFunction="sum" dataDxfId="171" totalsRowDxfId="172"/>
    <tableColumn id="8" xr3:uid="{9141A0B5-311F-43F4-BBDF-7CA395C2E0A6}" name="Kvartal 2 2026" totalsRowFunction="sum" dataDxfId="169" totalsRowDxfId="170"/>
    <tableColumn id="9" xr3:uid="{23C82BBE-F483-413A-A0D2-E962EE2409BE}" name="Kvartal 3 2026" totalsRowFunction="sum" dataDxfId="167" totalsRowDxfId="168"/>
    <tableColumn id="10" xr3:uid="{646658A7-2FC3-4CB3-B4C4-81AF7FE1E513}" name="Kvartal 4 2026" totalsRowFunction="sum" dataDxfId="165" totalsRowDxfId="166"/>
    <tableColumn id="11" xr3:uid="{ABD02AE1-9948-49D9-81B1-B4FDB35297B5}" name="2026" totalsRowFunction="sum" dataDxfId="163" totalsRowDxfId="164"/>
    <tableColumn id="12" xr3:uid="{7525B49E-DD0B-4571-945A-7DF45B47ECDB}" name="Förändring kv 2 från 2025-2026" totalsRowFunction="custom" dataDxfId="161" totalsRowDxfId="162">
      <totalsRowFormula>L19/G19-1</totalsRowFormula>
    </tableColumn>
    <tableColumn id="13" xr3:uid="{2C34A87C-4967-4978-845F-39A581CEE07C}" name="Förändring kv 1-2 från 2025–2026" totalsRowFunction="custom" dataDxfId="159" totalsRowDxfId="160">
      <totalsRowFormula>O19/SUM(F19:G19)-1</totalsRowFormula>
    </tableColumn>
    <tableColumn id="14" xr3:uid="{8FC1D842-60FA-4F1B-AA9E-8FB23464A827}" name="Procentuell andel 2026*" totalsRowFunction="sum" dataDxfId="157" totalsRowDxfId="158"/>
  </tableColumns>
  <tableStyleInfo name="Kvartalsstatistik" showFirstColumn="1" showLastColumn="0" showRowStripes="1" showColumnStripes="0"/>
  <extLst>
    <ext xmlns:x14="http://schemas.microsoft.com/office/spreadsheetml/2009/9/main" uri="{504A1905-F514-4f6f-8877-14C23A59335A}">
      <x14:table altText="Tabell över antal slaktade grisar" altTextSummary="Tabellen visar de större slakterierna kvartalsvis i år och förra året samt årsvis ytterligare fyra år tillbaka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97C09C5-B3A4-4230-855F-2F87E7E555FF}" name="Tabell_Kalv" displayName="Tabell_Kalv" ref="A2:R24" totalsRowCount="1" headerRowDxfId="156" dataDxfId="155" totalsRowDxfId="154">
  <autoFilter ref="A2:R23" xr:uid="{00000000-0009-0000-0100-00000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4E3C664D-1602-40E1-898B-2A5E9A3DC74D}" name="Anläggning" totalsRowLabel="Total svensk slakt" dataDxfId="153"/>
    <tableColumn id="19" xr3:uid="{EFD1D63E-CCFA-41A8-9032-6EDC35329CC3}" name="2021" totalsRowFunction="sum" dataDxfId="151" totalsRowDxfId="152"/>
    <tableColumn id="20" xr3:uid="{90280339-3AB7-4807-A169-544634939287}" name="2022" totalsRowFunction="sum" dataDxfId="149" totalsRowDxfId="150"/>
    <tableColumn id="21" xr3:uid="{0254677F-018B-43E7-9DA9-578D7B1F5D25}" name="2023" totalsRowFunction="sum" dataDxfId="147" totalsRowDxfId="148"/>
    <tableColumn id="22" xr3:uid="{EF81A69A-3B51-4A54-BDB3-725F6430AE9F}" name="2024" totalsRowFunction="sum" dataDxfId="145" totalsRowDxfId="146"/>
    <tableColumn id="2" xr3:uid="{B6663B9F-2AF6-40B9-B11E-78F72E1E34A9}" name="Kvartal 1 2025" totalsRowFunction="sum" dataDxfId="143" totalsRowDxfId="144"/>
    <tableColumn id="3" xr3:uid="{A4C6A30A-9AAE-403F-B6F1-5E9E323D4A7F}" name="Kvartal 2 2025" totalsRowFunction="sum" dataDxfId="141" totalsRowDxfId="142"/>
    <tableColumn id="4" xr3:uid="{93683F31-FD91-4504-A33C-3F81F75E20AB}" name="Kvartal 3 2025" totalsRowFunction="sum" dataDxfId="139" totalsRowDxfId="140"/>
    <tableColumn id="5" xr3:uid="{B3A9AF62-F74C-42EE-8898-0A7D8369CEB0}" name="Kvartal 4 2025" totalsRowFunction="sum" dataDxfId="137" totalsRowDxfId="138"/>
    <tableColumn id="6" xr3:uid="{D4A378A4-D531-4342-A7F9-124CA17EEB4C}" name="2025" totalsRowFunction="sum" dataDxfId="135" totalsRowDxfId="136"/>
    <tableColumn id="7" xr3:uid="{4F7C5FC7-AA29-4B8D-869E-A2F7270DC17F}" name="Kvartal 1 2026" totalsRowFunction="sum" dataDxfId="133" totalsRowDxfId="134"/>
    <tableColumn id="8" xr3:uid="{03B54B4D-668B-43A3-B8A4-B8FA6DABEA0B}" name="Kvartal 2 2026" totalsRowFunction="sum" dataDxfId="131" totalsRowDxfId="132"/>
    <tableColumn id="9" xr3:uid="{BFA66357-3E8C-4DAE-AA91-A2C55441DB4E}" name="Kvartal 3 2026" totalsRowFunction="sum" dataDxfId="129" totalsRowDxfId="130"/>
    <tableColumn id="10" xr3:uid="{FDB89CA1-8C81-45FA-B9DF-71EDAC6120D2}" name="Kvartal 4 2026" totalsRowFunction="sum" dataDxfId="127" totalsRowDxfId="128"/>
    <tableColumn id="11" xr3:uid="{6B7432EA-E9D3-4DE9-8F36-F24E7699F4E0}" name="2026" totalsRowFunction="sum" dataDxfId="125" totalsRowDxfId="126"/>
    <tableColumn id="12" xr3:uid="{182DE0AC-0832-4353-95DF-4ADFE23E1297}" name="Förändring kv 2 från 2025-2026" totalsRowFunction="custom" dataDxfId="123" totalsRowDxfId="124">
      <totalsRowFormula>L24/G24-1</totalsRowFormula>
    </tableColumn>
    <tableColumn id="13" xr3:uid="{B68B6480-B28C-4B48-8337-B0D66546733A}" name="Förändring kv 1-2 från 2025–2026" totalsRowFunction="custom" dataDxfId="121" totalsRowDxfId="122">
      <totalsRowFormula>O24/SUM(F24:G24)-1</totalsRowFormula>
    </tableColumn>
    <tableColumn id="14" xr3:uid="{D7B2B830-A834-4B60-A784-A8EB0D9FB67B}" name="Procentuell andel 2026*" totalsRowFunction="sum" dataDxfId="119" totalsRowDxfId="120"/>
  </tableColumns>
  <tableStyleInfo name="Kvartalsstatistik" showFirstColumn="1" showLastColumn="0" showRowStripes="1" showColumnStripes="0"/>
  <extLst>
    <ext xmlns:x14="http://schemas.microsoft.com/office/spreadsheetml/2009/9/main" uri="{504A1905-F514-4f6f-8877-14C23A59335A}">
      <x14:table altText="Tabell över antal slaktade kalvar" altTextSummary="Tabellen visar de större slakterierna kvartalsvis i år och förra året samt årsvis ytterligare fyra år tillbaka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C511F98-D348-4D7A-BFB7-EA4697B1A0DA}" name="Tabell_Storb" displayName="Tabell_Storb" ref="A2:R29" totalsRowCount="1" headerRowDxfId="118" totalsRowDxfId="117">
  <autoFilter ref="A2:R28" xr:uid="{00000000-0009-0000-0100-00000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65828C46-90FA-427F-8095-47A925CF7DDA}" name="Anläggning" totalsRowLabel="Total svensk slakt" dataDxfId="116"/>
    <tableColumn id="19" xr3:uid="{561F9E63-1631-4B54-B300-26E22887C2F0}" name="2021" totalsRowFunction="sum" dataDxfId="114" totalsRowDxfId="115"/>
    <tableColumn id="20" xr3:uid="{3BD6A641-6801-4EDF-8B9D-28EED07D9525}" name="2022" totalsRowFunction="sum" dataDxfId="112" totalsRowDxfId="113"/>
    <tableColumn id="21" xr3:uid="{B8C0E4F8-4423-4445-96F0-745861B10CFD}" name="2023" totalsRowFunction="sum" dataDxfId="110" totalsRowDxfId="111"/>
    <tableColumn id="22" xr3:uid="{718EB5EE-0A68-4751-80B0-942DE4A3DE4B}" name="2024" totalsRowFunction="sum" dataDxfId="108" totalsRowDxfId="109"/>
    <tableColumn id="2" xr3:uid="{5F8B1D1D-B62E-4A2C-B85F-1D649F5E362E}" name="Kvartal 1 2025" totalsRowFunction="sum" dataDxfId="106" totalsRowDxfId="107"/>
    <tableColumn id="3" xr3:uid="{940C16CA-6F1F-4FF8-ADB7-D853A249EBDE}" name="Kvartal 2 2025" totalsRowFunction="sum" dataDxfId="104" totalsRowDxfId="105"/>
    <tableColumn id="4" xr3:uid="{3992F9BC-53A4-4084-BEBB-5C0A5B8C3E9C}" name="Kvartal 3 2025" totalsRowFunction="sum" dataDxfId="102" totalsRowDxfId="103"/>
    <tableColumn id="5" xr3:uid="{33F9E2E5-735E-47A6-835E-9C9672B8ECE8}" name="Kvartal 4 2025" totalsRowFunction="sum" dataDxfId="100" totalsRowDxfId="101"/>
    <tableColumn id="6" xr3:uid="{79BEF004-A965-49EF-8C75-8C7C1F44EE5E}" name="2025" totalsRowFunction="sum" dataDxfId="98" totalsRowDxfId="99"/>
    <tableColumn id="7" xr3:uid="{F355E0B3-3D95-4506-8B9A-E3B1EB765A94}" name="Kvartal 1 2026" totalsRowFunction="sum" dataDxfId="96" totalsRowDxfId="97"/>
    <tableColumn id="8" xr3:uid="{3F2F6080-8A67-42DD-A613-893DC61D37E1}" name="Kvartal 2 2026" totalsRowFunction="sum" dataDxfId="94" totalsRowDxfId="95"/>
    <tableColumn id="9" xr3:uid="{3E856AE7-B384-4D84-839B-8FC537318980}" name="Kvartal 3 2026" totalsRowFunction="sum" dataDxfId="92" totalsRowDxfId="93"/>
    <tableColumn id="10" xr3:uid="{7C2D7D9D-F708-498E-9B5A-901F1C19E37F}" name="Kvartal 4 2026" totalsRowFunction="sum" dataDxfId="90" totalsRowDxfId="91"/>
    <tableColumn id="11" xr3:uid="{A141DE0B-E019-40EC-B2FC-57468DC67DB6}" name="2026" totalsRowFunction="sum" dataDxfId="88" totalsRowDxfId="89"/>
    <tableColumn id="12" xr3:uid="{3D90DDFE-881B-4401-8EFD-8F7CD9E3614E}" name="Förändring kv 2 från 2025-2026" totalsRowFunction="custom" dataDxfId="86" totalsRowDxfId="87">
      <totalsRowFormula>L29/G29-1</totalsRowFormula>
    </tableColumn>
    <tableColumn id="13" xr3:uid="{50D1D610-5E8A-425B-9B6C-BC7F6E673D84}" name="Förändring kv 1-2 från 2025–2026" totalsRowFunction="custom" dataDxfId="84" totalsRowDxfId="85">
      <totalsRowFormula>O29/SUM(F29:G29)-1</totalsRowFormula>
    </tableColumn>
    <tableColumn id="14" xr3:uid="{C080714A-2B69-48C2-BDA7-3E35F90B2BB7}" name="Procentuell andel 2026*" totalsRowFunction="sum" dataDxfId="82" totalsRowDxfId="83"/>
  </tableColumns>
  <tableStyleInfo name="Kvartalsstatistik" showFirstColumn="1" showLastColumn="0" showRowStripes="1" showColumnStripes="0"/>
  <extLst>
    <ext xmlns:x14="http://schemas.microsoft.com/office/spreadsheetml/2009/9/main" uri="{504A1905-F514-4f6f-8877-14C23A59335A}">
      <x14:table altText="Tabell över antalet slaktade storboskap" altTextSummary="Tabellen visar de större slakterierna kvartalsvis i år och förra året samt årsvis ytterligare fyra år tillbaka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38AB14D-4867-4223-A84E-BE20E6D467CA}" name="Tabell_Får" displayName="Tabell_Får" ref="A2:R29" totalsRowCount="1" headerRowDxfId="81" totalsRowDxfId="80">
  <autoFilter ref="A2:R28" xr:uid="{00000000-0009-0000-0100-00000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99C89AE2-B3E0-425D-9221-004103585B51}" name="Anläggning" totalsRowLabel="Total svensk slakt" dataDxfId="79"/>
    <tableColumn id="19" xr3:uid="{FBE8827A-DF7A-489D-81F5-EC2A124C3383}" name="2021" totalsRowFunction="sum" dataDxfId="77" totalsRowDxfId="78"/>
    <tableColumn id="20" xr3:uid="{E0682E1E-EB2E-412D-A4FD-5AC35BCBEFD8}" name="2022" totalsRowFunction="sum" dataDxfId="75" totalsRowDxfId="76"/>
    <tableColumn id="21" xr3:uid="{454650F0-3D90-4063-9268-E9DAEDFE0FD5}" name="2023" totalsRowFunction="sum" dataDxfId="73" totalsRowDxfId="74"/>
    <tableColumn id="22" xr3:uid="{58143E04-C49B-4924-901E-AD43A0A04735}" name="2024" totalsRowFunction="sum" dataDxfId="71" totalsRowDxfId="72"/>
    <tableColumn id="2" xr3:uid="{2DDEC7F1-6847-4FD3-8CF0-42933EB74EDA}" name="Kvartal 1 2025" totalsRowFunction="sum" dataDxfId="69" totalsRowDxfId="70"/>
    <tableColumn id="3" xr3:uid="{0CDA3354-DD58-4222-909F-1A07CD60AEF5}" name="Kvartal 2 2025" totalsRowFunction="sum" dataDxfId="67" totalsRowDxfId="68"/>
    <tableColumn id="4" xr3:uid="{43AD609D-6317-4418-B88B-108A96089FE8}" name="Kvartal 3 2025" totalsRowFunction="sum" dataDxfId="65" totalsRowDxfId="66"/>
    <tableColumn id="5" xr3:uid="{3DCFCD48-DE09-467F-B2C4-66CBDF83330B}" name="Kvartal 4 2025" totalsRowFunction="sum" dataDxfId="63" totalsRowDxfId="64"/>
    <tableColumn id="6" xr3:uid="{6CA73814-40F1-4AA4-AECC-569E50C07539}" name="2025" totalsRowFunction="sum" dataDxfId="61" totalsRowDxfId="62"/>
    <tableColumn id="7" xr3:uid="{2F7831AB-2EC0-40E3-9FC4-5FA10B75C841}" name="Kvartal 1 2026" totalsRowFunction="sum" dataDxfId="59" totalsRowDxfId="60"/>
    <tableColumn id="8" xr3:uid="{9F079C0F-7C89-4D2F-AC7D-992251D8D8E9}" name="Kvartal 2 2026" totalsRowFunction="sum" dataDxfId="57" totalsRowDxfId="58"/>
    <tableColumn id="9" xr3:uid="{EEFAD2E5-98B9-409D-B783-358D34997D72}" name="Kvartal 3 2026" totalsRowFunction="sum" dataDxfId="55" totalsRowDxfId="56"/>
    <tableColumn id="10" xr3:uid="{E12F4D8C-C39B-4A9F-8225-FB9A64FC0530}" name="Kvartal 4 2026" totalsRowFunction="sum" dataDxfId="53" totalsRowDxfId="54"/>
    <tableColumn id="11" xr3:uid="{BAE0AC73-01D7-481A-9A85-06C7FF591FA3}" name="2026" totalsRowFunction="sum" dataDxfId="51" totalsRowDxfId="52"/>
    <tableColumn id="12" xr3:uid="{3D84AFEB-9B08-4E5B-A7BD-BB9EFAEFD310}" name="Förändring kv 2 från 2025-2026" totalsRowFunction="custom" dataDxfId="49" totalsRowDxfId="50">
      <totalsRowFormula>L29/G29-1</totalsRowFormula>
    </tableColumn>
    <tableColumn id="13" xr3:uid="{AD39C7BF-7C45-42E7-8472-F9E21032BBAC}" name="Förändring kv 1-2 från 2025–2026" totalsRowFunction="custom" dataDxfId="47" totalsRowDxfId="48">
      <totalsRowFormula>O29/SUM(F29:G29)-1</totalsRowFormula>
    </tableColumn>
    <tableColumn id="14" xr3:uid="{B438ACBF-BE57-41C5-8B3B-63890DFA45C9}" name="Procentuell andel 2026*" totalsRowFunction="sum" dataDxfId="45" totalsRowDxfId="46"/>
  </tableColumns>
  <tableStyleInfo name="Kvartalsstatistik" showFirstColumn="1" showLastColumn="0" showRowStripes="1" showColumnStripes="0"/>
  <extLst>
    <ext xmlns:x14="http://schemas.microsoft.com/office/spreadsheetml/2009/9/main" uri="{504A1905-F514-4f6f-8877-14C23A59335A}">
      <x14:table altText="Tabell över antal slaktade får och lamm" altTextSummary="Tabellen visar de större slakterierna kvartalsvis i år och förra året samt årsvis ytterligare fyra år tillbaka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71E00CF-DD2D-4576-A51A-F035958356B7}" name="Tabell_Häst" displayName="Tabell_Häst" ref="A2:R13" totalsRowCount="1" headerRowDxfId="44" dataDxfId="43" totalsRowDxfId="42">
  <autoFilter ref="A2:R12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1244DF0C-C61B-4285-BB68-F97928731B54}" name="Anläggning" totalsRowLabel="Total svensk slakt" dataDxfId="41"/>
    <tableColumn id="19" xr3:uid="{32AFF62F-E73B-4A94-82E5-0DFDFD5ECBCA}" name="2021" totalsRowFunction="sum" dataDxfId="39" totalsRowDxfId="40"/>
    <tableColumn id="20" xr3:uid="{E6C48A20-2112-46AD-8D02-489CDC73175E}" name="2022" totalsRowFunction="sum" dataDxfId="37" totalsRowDxfId="38"/>
    <tableColumn id="21" xr3:uid="{37F11AFC-AFAD-4541-83C5-93575D344584}" name="2023" totalsRowFunction="sum" dataDxfId="35" totalsRowDxfId="36"/>
    <tableColumn id="22" xr3:uid="{BA7C6049-E74E-4FF7-8ECF-AA718414E665}" name="2024" totalsRowFunction="sum" dataDxfId="33" totalsRowDxfId="34"/>
    <tableColumn id="2" xr3:uid="{0C9FE22B-8994-4DC7-8E0D-FB20EDE3F58B}" name="Kvartal 1 2025" totalsRowFunction="sum" dataDxfId="31" totalsRowDxfId="32"/>
    <tableColumn id="3" xr3:uid="{12A3270D-2FCC-48EB-A090-B725511547E3}" name="Kvartal 2 2025" totalsRowFunction="sum" dataDxfId="29" totalsRowDxfId="30"/>
    <tableColumn id="4" xr3:uid="{D3C8486B-A161-422E-93D3-467A156786B2}" name="Kvartal 3 2025" totalsRowFunction="sum" dataDxfId="27" totalsRowDxfId="28"/>
    <tableColumn id="5" xr3:uid="{0E3E6909-CB93-4BBC-828A-61E0BFB083F0}" name="Kvartal 4 2025" totalsRowFunction="sum" dataDxfId="25" totalsRowDxfId="26"/>
    <tableColumn id="6" xr3:uid="{66B098FB-B664-4B1D-B1F9-05CD573C350D}" name="2025" totalsRowFunction="sum" dataDxfId="23" totalsRowDxfId="24"/>
    <tableColumn id="7" xr3:uid="{A8070FDF-29CF-4859-8C2A-6A951469F13F}" name="Kvartal 1 2026" totalsRowFunction="sum" dataDxfId="21" totalsRowDxfId="22"/>
    <tableColumn id="8" xr3:uid="{FDF957CD-321D-4241-9053-ECC6481B350A}" name="Kvartal 2 2026" totalsRowFunction="sum" dataDxfId="19" totalsRowDxfId="20"/>
    <tableColumn id="9" xr3:uid="{720DCC37-0F61-46C2-A43B-90B74FF8C3AE}" name="Kvartal 3 2026" totalsRowFunction="sum" dataDxfId="17" totalsRowDxfId="18"/>
    <tableColumn id="10" xr3:uid="{B177E8E7-C85F-4EA4-9169-EA2526E354F8}" name="Kvartal 4 2026" totalsRowFunction="sum" dataDxfId="15" totalsRowDxfId="16"/>
    <tableColumn id="11" xr3:uid="{3C784F2F-387D-4E7A-8D66-1A3C27244DCD}" name="2026" totalsRowFunction="sum" dataDxfId="13" totalsRowDxfId="14"/>
    <tableColumn id="12" xr3:uid="{79394A47-BA3A-4DCF-B6A5-50555B5BF17B}" name="Förändring kv 2 från 2025-2026" totalsRowFunction="custom" dataDxfId="11" totalsRowDxfId="12">
      <totalsRowFormula>L13/G13-1</totalsRowFormula>
    </tableColumn>
    <tableColumn id="13" xr3:uid="{4F160472-EFAB-4796-9CA4-FAF39976F5D1}" name="Förändring kv 1-2 från 2025–2026" totalsRowFunction="custom" dataDxfId="9" totalsRowDxfId="10">
      <totalsRowFormula>O13/SUM(F13:G13)-1</totalsRowFormula>
    </tableColumn>
    <tableColumn id="14" xr3:uid="{5139993D-DCA3-4B3E-A10E-CB6EF84F81CF}" name="Procentuell andel 2026*" totalsRowFunction="sum" dataDxfId="7" totalsRowDxfId="8"/>
  </tableColumns>
  <tableStyleInfo name="Kvartalsstatistik" showFirstColumn="1" showLastColumn="0" showRowStripes="1" showColumnStripes="0"/>
  <extLst>
    <ext xmlns:x14="http://schemas.microsoft.com/office/spreadsheetml/2009/9/main" uri="{504A1905-F514-4f6f-8877-14C23A59335A}">
      <x14:table altText="Tabell över antal slaktade får och lamm" altTextSummary="Tabellen visar de större slakterierna kvartalsvis i år och förra året samt årsvis ytterligare fyra år tillbaka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FE16C1C-3D28-4AC4-B134-BBE3BC2ABBA8}" name="Tabell_Årshistorik" displayName="Tabell_Årshistorik" ref="A2:G28" totalsRowShown="0">
  <autoFilter ref="A2:G28" xr:uid="{D4AD92F7-E702-42E6-963F-C7916247EAC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sortState xmlns:xlrd2="http://schemas.microsoft.com/office/spreadsheetml/2017/richdata2" ref="A3:F18">
    <sortCondition descending="1" ref="A7"/>
  </sortState>
  <tableColumns count="7">
    <tableColumn id="1" xr3:uid="{C76708EE-9AC9-41F1-98E5-BD713DA397E4}" name="År" dataDxfId="6"/>
    <tableColumn id="2" xr3:uid="{B44AF6CB-669D-436D-8F1D-44981EA671D0}" name="Svin" dataDxfId="5"/>
    <tableColumn id="3" xr3:uid="{89C04E58-5E41-4724-A8E7-378A58BDD4B6}" name="Storboskap" dataDxfId="4"/>
    <tableColumn id="4" xr3:uid="{66A34942-A421-4FB0-912C-7C85406AE6E9}" name="Kalv" dataDxfId="3"/>
    <tableColumn id="5" xr3:uid="{1A816802-4EC3-467A-AA9A-516A68C92118}" name="Får" dataDxfId="2"/>
    <tableColumn id="7" xr3:uid="{19B27CBC-64AD-4855-A038-7D6C92292EBC}" name="Häst" dataDxfId="1"/>
    <tableColumn id="6" xr3:uid="{91DEDFB1-1664-4897-8243-1E8329BDD80E}" name="Get" dataDxfId="0"/>
  </tableColumns>
  <tableStyleInfo name="Kvartalsstatistik" showFirstColumn="1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A0311-74C5-478F-9BD0-247BC93D0653}">
  <sheetPr codeName="flSvin">
    <pageSetUpPr fitToPage="1"/>
  </sheetPr>
  <dimension ref="A1:S60"/>
  <sheetViews>
    <sheetView tabSelected="1" workbookViewId="0">
      <selection activeCell="A2" sqref="A2"/>
    </sheetView>
  </sheetViews>
  <sheetFormatPr defaultColWidth="9.140625" defaultRowHeight="15" x14ac:dyDescent="0.25"/>
  <cols>
    <col min="1" max="1" width="27" customWidth="1"/>
    <col min="2" max="2" width="8.85546875" bestFit="1" customWidth="1"/>
    <col min="3" max="3" width="9.42578125" customWidth="1"/>
    <col min="4" max="4" width="9.28515625" customWidth="1"/>
    <col min="5" max="5" width="9.140625" customWidth="1"/>
    <col min="6" max="9" width="8.28515625" customWidth="1"/>
    <col min="10" max="10" width="8.7109375" customWidth="1"/>
    <col min="11" max="14" width="8.28515625" customWidth="1"/>
    <col min="15" max="15" width="9.140625" customWidth="1"/>
    <col min="16" max="16" width="10.7109375" customWidth="1"/>
    <col min="17" max="17" width="11.28515625" customWidth="1"/>
    <col min="18" max="18" width="11.5703125" customWidth="1"/>
  </cols>
  <sheetData>
    <row r="1" spans="1:19" ht="92.25" customHeight="1" x14ac:dyDescent="0.25">
      <c r="A1" s="1" t="s">
        <v>0</v>
      </c>
      <c r="J1" s="1"/>
      <c r="R1" s="2"/>
    </row>
    <row r="2" spans="1:19" ht="4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4" t="s">
        <v>15</v>
      </c>
      <c r="P2" s="6" t="s">
        <v>16</v>
      </c>
      <c r="Q2" s="6" t="s">
        <v>17</v>
      </c>
      <c r="R2" s="7" t="s">
        <v>18</v>
      </c>
      <c r="S2" s="8"/>
    </row>
    <row r="3" spans="1:19" ht="15" customHeight="1" x14ac:dyDescent="0.25">
      <c r="A3" s="9" t="s">
        <v>19</v>
      </c>
      <c r="B3" s="10">
        <v>52910</v>
      </c>
      <c r="C3" s="10">
        <v>51544</v>
      </c>
      <c r="D3" s="10">
        <v>51504</v>
      </c>
      <c r="E3" s="10">
        <v>50636</v>
      </c>
      <c r="F3" s="11">
        <v>12988</v>
      </c>
      <c r="G3" s="11">
        <v>11983</v>
      </c>
      <c r="H3" s="11">
        <v>12283</v>
      </c>
      <c r="I3" s="11">
        <v>11958</v>
      </c>
      <c r="J3" s="10">
        <v>49212</v>
      </c>
      <c r="K3" s="12">
        <v>12860</v>
      </c>
      <c r="L3" s="12">
        <v>12277</v>
      </c>
      <c r="M3" s="12"/>
      <c r="N3" s="12"/>
      <c r="O3" s="10">
        <v>25137</v>
      </c>
      <c r="P3" s="13">
        <v>2.4534757573228649E-2</v>
      </c>
      <c r="Q3" s="13">
        <v>6.6477113451604009E-3</v>
      </c>
      <c r="R3" s="14">
        <v>1.8918036142728557E-2</v>
      </c>
      <c r="S3" s="15"/>
    </row>
    <row r="4" spans="1:19" ht="15" customHeight="1" x14ac:dyDescent="0.25">
      <c r="A4" s="9" t="s">
        <v>20</v>
      </c>
      <c r="B4" s="10">
        <v>2179</v>
      </c>
      <c r="C4" s="10">
        <v>2226</v>
      </c>
      <c r="D4" s="10">
        <v>1630</v>
      </c>
      <c r="E4" s="10">
        <v>1893</v>
      </c>
      <c r="F4" s="11">
        <v>443</v>
      </c>
      <c r="G4" s="11">
        <v>487</v>
      </c>
      <c r="H4" s="11">
        <v>460</v>
      </c>
      <c r="I4" s="11">
        <v>554</v>
      </c>
      <c r="J4" s="10">
        <v>1944</v>
      </c>
      <c r="K4" s="12">
        <v>450</v>
      </c>
      <c r="L4" s="12">
        <v>530</v>
      </c>
      <c r="M4" s="12"/>
      <c r="N4" s="12"/>
      <c r="O4" s="10">
        <v>980</v>
      </c>
      <c r="P4" s="13">
        <v>8.8295687885010299E-2</v>
      </c>
      <c r="Q4" s="13">
        <v>5.3763440860215006E-2</v>
      </c>
      <c r="R4" s="14">
        <v>7.3754526872236092E-4</v>
      </c>
    </row>
    <row r="5" spans="1:19" ht="15" customHeight="1" x14ac:dyDescent="0.25">
      <c r="A5" s="9" t="s">
        <v>21</v>
      </c>
      <c r="B5" s="10">
        <v>204679</v>
      </c>
      <c r="C5" s="10">
        <v>210698</v>
      </c>
      <c r="D5" s="10">
        <v>208268</v>
      </c>
      <c r="E5" s="10">
        <v>213722</v>
      </c>
      <c r="F5" s="11">
        <v>54523</v>
      </c>
      <c r="G5" s="11">
        <v>51330</v>
      </c>
      <c r="H5" s="11">
        <v>57767</v>
      </c>
      <c r="I5" s="11">
        <v>58228</v>
      </c>
      <c r="J5" s="10">
        <v>221848</v>
      </c>
      <c r="K5" s="12">
        <v>60861</v>
      </c>
      <c r="L5" s="12">
        <v>59993</v>
      </c>
      <c r="M5" s="12"/>
      <c r="N5" s="12"/>
      <c r="O5" s="10">
        <v>120854</v>
      </c>
      <c r="P5" s="13">
        <v>0.16877069939606471</v>
      </c>
      <c r="Q5" s="13">
        <v>0.14171539776860365</v>
      </c>
      <c r="R5" s="14">
        <v>9.0954383577726741E-2</v>
      </c>
    </row>
    <row r="6" spans="1:19" ht="15" customHeight="1" x14ac:dyDescent="0.25">
      <c r="A6" s="9" t="s">
        <v>22</v>
      </c>
      <c r="B6" s="10">
        <v>75524</v>
      </c>
      <c r="C6" s="10">
        <v>67029</v>
      </c>
      <c r="D6" s="10">
        <v>52236</v>
      </c>
      <c r="E6" s="10">
        <v>50037</v>
      </c>
      <c r="F6" s="11">
        <v>12581</v>
      </c>
      <c r="G6" s="11">
        <v>11267</v>
      </c>
      <c r="H6" s="11">
        <v>11197</v>
      </c>
      <c r="I6" s="11">
        <v>12266</v>
      </c>
      <c r="J6" s="10">
        <v>47311</v>
      </c>
      <c r="K6" s="12">
        <v>12409</v>
      </c>
      <c r="L6" s="12">
        <v>4107</v>
      </c>
      <c r="M6" s="12"/>
      <c r="N6" s="12"/>
      <c r="O6" s="10">
        <v>16516</v>
      </c>
      <c r="P6" s="13">
        <v>-0.63548415727345342</v>
      </c>
      <c r="Q6" s="13">
        <v>-0.30744716538074468</v>
      </c>
      <c r="R6" s="14">
        <v>1.2429895569610726E-2</v>
      </c>
    </row>
    <row r="7" spans="1:19" ht="15" customHeight="1" x14ac:dyDescent="0.25">
      <c r="A7" s="9" t="s">
        <v>23</v>
      </c>
      <c r="B7" s="10">
        <v>58126</v>
      </c>
      <c r="C7" s="10">
        <v>60953</v>
      </c>
      <c r="D7" s="10">
        <v>56468</v>
      </c>
      <c r="E7" s="10">
        <v>61751</v>
      </c>
      <c r="F7" s="11">
        <v>15253</v>
      </c>
      <c r="G7" s="11">
        <v>13502</v>
      </c>
      <c r="H7" s="11">
        <v>16374</v>
      </c>
      <c r="I7" s="11">
        <v>14746</v>
      </c>
      <c r="J7" s="10">
        <v>59875</v>
      </c>
      <c r="K7" s="12">
        <v>15283</v>
      </c>
      <c r="L7" s="12">
        <v>13997</v>
      </c>
      <c r="M7" s="12"/>
      <c r="N7" s="12"/>
      <c r="O7" s="10">
        <v>29280</v>
      </c>
      <c r="P7" s="13">
        <v>3.6661235372537293E-2</v>
      </c>
      <c r="Q7" s="13">
        <v>1.8257694314032236E-2</v>
      </c>
      <c r="R7" s="14">
        <v>2.2036046396112986E-2</v>
      </c>
    </row>
    <row r="8" spans="1:19" ht="15" customHeight="1" x14ac:dyDescent="0.25">
      <c r="A8" s="9" t="s">
        <v>24</v>
      </c>
      <c r="B8" s="10">
        <v>396781</v>
      </c>
      <c r="C8" s="10">
        <v>399539</v>
      </c>
      <c r="D8" s="10">
        <v>382237</v>
      </c>
      <c r="E8" s="10">
        <v>390505</v>
      </c>
      <c r="F8" s="11">
        <v>97876</v>
      </c>
      <c r="G8" s="11">
        <v>94933</v>
      </c>
      <c r="H8" s="11">
        <v>99271</v>
      </c>
      <c r="I8" s="11">
        <v>97354</v>
      </c>
      <c r="J8" s="10">
        <v>389434</v>
      </c>
      <c r="K8" s="12">
        <v>101274</v>
      </c>
      <c r="L8" s="12">
        <v>96176</v>
      </c>
      <c r="M8" s="12"/>
      <c r="N8" s="12"/>
      <c r="O8" s="10">
        <v>197450</v>
      </c>
      <c r="P8" s="13">
        <v>1.3093444850578839E-2</v>
      </c>
      <c r="Q8" s="13">
        <v>2.4070453142747583E-2</v>
      </c>
      <c r="R8" s="14">
        <v>0.14860031970329607</v>
      </c>
    </row>
    <row r="9" spans="1:19" ht="15" customHeight="1" x14ac:dyDescent="0.25">
      <c r="A9" s="9" t="s">
        <v>25</v>
      </c>
      <c r="B9" s="10">
        <v>393976</v>
      </c>
      <c r="C9" s="10">
        <v>399235</v>
      </c>
      <c r="D9" s="10">
        <v>368386</v>
      </c>
      <c r="E9" s="10">
        <v>389750</v>
      </c>
      <c r="F9" s="11">
        <v>98404</v>
      </c>
      <c r="G9" s="11">
        <v>93063</v>
      </c>
      <c r="H9" s="11">
        <v>94455</v>
      </c>
      <c r="I9" s="11">
        <v>96848</v>
      </c>
      <c r="J9" s="10">
        <v>382770</v>
      </c>
      <c r="K9" s="12">
        <v>101051</v>
      </c>
      <c r="L9" s="12">
        <v>95752</v>
      </c>
      <c r="M9" s="12"/>
      <c r="N9" s="12"/>
      <c r="O9" s="10">
        <v>196803</v>
      </c>
      <c r="P9" s="13">
        <v>2.8894404865521306E-2</v>
      </c>
      <c r="Q9" s="13">
        <v>2.7869032261434112E-2</v>
      </c>
      <c r="R9" s="14">
        <v>0.14811338930649673</v>
      </c>
    </row>
    <row r="10" spans="1:19" ht="15" customHeight="1" x14ac:dyDescent="0.25">
      <c r="A10" s="9" t="s">
        <v>26</v>
      </c>
      <c r="B10" s="10">
        <v>247645</v>
      </c>
      <c r="C10" s="10">
        <v>244006</v>
      </c>
      <c r="D10" s="10">
        <v>232800</v>
      </c>
      <c r="E10" s="10">
        <v>235701</v>
      </c>
      <c r="F10" s="11">
        <v>57318</v>
      </c>
      <c r="G10" s="11">
        <v>54513</v>
      </c>
      <c r="H10" s="11">
        <v>60754</v>
      </c>
      <c r="I10" s="11">
        <v>57199</v>
      </c>
      <c r="J10" s="10">
        <v>229784</v>
      </c>
      <c r="K10" s="12">
        <v>59937</v>
      </c>
      <c r="L10" s="12">
        <v>58702</v>
      </c>
      <c r="M10" s="12"/>
      <c r="N10" s="12"/>
      <c r="O10" s="10">
        <v>118639</v>
      </c>
      <c r="P10" s="13">
        <v>7.6844055546383405E-2</v>
      </c>
      <c r="Q10" s="13">
        <v>6.0877574196779083E-2</v>
      </c>
      <c r="R10" s="14">
        <v>8.9287380750971604E-2</v>
      </c>
    </row>
    <row r="11" spans="1:19" ht="15" customHeight="1" x14ac:dyDescent="0.25">
      <c r="A11" s="9" t="s">
        <v>27</v>
      </c>
      <c r="B11" s="10">
        <v>35961</v>
      </c>
      <c r="C11" s="10">
        <v>39651</v>
      </c>
      <c r="D11" s="10">
        <v>35146</v>
      </c>
      <c r="E11" s="10">
        <v>31721</v>
      </c>
      <c r="F11" s="11">
        <v>7745</v>
      </c>
      <c r="G11" s="11">
        <v>8581</v>
      </c>
      <c r="H11" s="11">
        <v>10171</v>
      </c>
      <c r="I11" s="11">
        <v>10884</v>
      </c>
      <c r="J11" s="10">
        <v>37381</v>
      </c>
      <c r="K11" s="12">
        <v>10679</v>
      </c>
      <c r="L11" s="12">
        <v>10696</v>
      </c>
      <c r="M11" s="12"/>
      <c r="N11" s="12"/>
      <c r="O11" s="10">
        <v>21375</v>
      </c>
      <c r="P11" s="13">
        <v>0.24647476984034489</v>
      </c>
      <c r="Q11" s="13">
        <v>0.30926130099228222</v>
      </c>
      <c r="R11" s="14">
        <v>1.6086765427490268E-2</v>
      </c>
    </row>
    <row r="12" spans="1:19" ht="15" customHeight="1" x14ac:dyDescent="0.25">
      <c r="A12" s="9" t="s">
        <v>28</v>
      </c>
      <c r="B12" s="10">
        <v>32085</v>
      </c>
      <c r="C12" s="10">
        <v>28556</v>
      </c>
      <c r="D12" s="10">
        <v>23771</v>
      </c>
      <c r="E12" s="10">
        <v>22532</v>
      </c>
      <c r="F12" s="11">
        <v>3249</v>
      </c>
      <c r="G12" s="11">
        <v>4378</v>
      </c>
      <c r="H12" s="11">
        <v>4338</v>
      </c>
      <c r="I12" s="11">
        <v>4094</v>
      </c>
      <c r="J12" s="10">
        <v>16059</v>
      </c>
      <c r="K12" s="12">
        <v>4814</v>
      </c>
      <c r="L12" s="12">
        <v>4612</v>
      </c>
      <c r="M12" s="12"/>
      <c r="N12" s="12"/>
      <c r="O12" s="10">
        <v>9426</v>
      </c>
      <c r="P12" s="13">
        <v>5.3449063499314775E-2</v>
      </c>
      <c r="Q12" s="13">
        <v>0.23587255801756912</v>
      </c>
      <c r="R12" s="14">
        <v>7.0939813295683406E-3</v>
      </c>
    </row>
    <row r="13" spans="1:19" ht="15" customHeight="1" x14ac:dyDescent="0.25">
      <c r="A13" s="9" t="s">
        <v>29</v>
      </c>
      <c r="B13" s="10">
        <v>70437</v>
      </c>
      <c r="C13" s="10">
        <v>68452</v>
      </c>
      <c r="D13" s="10">
        <v>64095</v>
      </c>
      <c r="E13" s="10">
        <v>65143</v>
      </c>
      <c r="F13" s="11">
        <v>16784</v>
      </c>
      <c r="G13" s="11">
        <v>16131</v>
      </c>
      <c r="H13" s="11">
        <v>16339</v>
      </c>
      <c r="I13" s="11">
        <v>14676</v>
      </c>
      <c r="J13" s="10">
        <v>63930</v>
      </c>
      <c r="K13" s="12">
        <v>15254</v>
      </c>
      <c r="L13" s="12">
        <v>13516</v>
      </c>
      <c r="M13" s="12"/>
      <c r="N13" s="12"/>
      <c r="O13" s="10">
        <v>28770</v>
      </c>
      <c r="P13" s="13">
        <v>-0.16211022255284857</v>
      </c>
      <c r="Q13" s="13">
        <v>-0.12593042685705602</v>
      </c>
      <c r="R13" s="14">
        <v>2.1652221817492167E-2</v>
      </c>
    </row>
    <row r="14" spans="1:19" ht="15" customHeight="1" x14ac:dyDescent="0.25">
      <c r="A14" s="9" t="s">
        <v>30</v>
      </c>
      <c r="B14" s="10">
        <v>2365</v>
      </c>
      <c r="C14" s="10">
        <v>2289</v>
      </c>
      <c r="D14" s="10">
        <v>2697</v>
      </c>
      <c r="E14" s="10">
        <v>2706</v>
      </c>
      <c r="F14" s="11">
        <v>487</v>
      </c>
      <c r="G14" s="11">
        <v>709</v>
      </c>
      <c r="H14" s="11">
        <v>639</v>
      </c>
      <c r="I14" s="11">
        <v>700</v>
      </c>
      <c r="J14" s="10">
        <v>2535</v>
      </c>
      <c r="K14" s="12">
        <v>405</v>
      </c>
      <c r="L14" s="12">
        <v>589</v>
      </c>
      <c r="M14" s="12"/>
      <c r="N14" s="12"/>
      <c r="O14" s="10">
        <v>994</v>
      </c>
      <c r="P14" s="13">
        <v>-0.16925246826516216</v>
      </c>
      <c r="Q14" s="13">
        <v>-0.16889632107023411</v>
      </c>
      <c r="R14" s="14">
        <v>7.4808162970410889E-4</v>
      </c>
    </row>
    <row r="15" spans="1:19" ht="15" customHeight="1" x14ac:dyDescent="0.25">
      <c r="A15" s="9" t="s">
        <v>31</v>
      </c>
      <c r="B15" s="10">
        <v>384</v>
      </c>
      <c r="C15" s="10">
        <v>613</v>
      </c>
      <c r="D15" s="10">
        <v>594</v>
      </c>
      <c r="E15" s="10">
        <v>1185</v>
      </c>
      <c r="F15" s="11">
        <v>264</v>
      </c>
      <c r="G15" s="11">
        <v>316</v>
      </c>
      <c r="H15" s="11">
        <v>271</v>
      </c>
      <c r="I15" s="11">
        <v>403</v>
      </c>
      <c r="J15" s="10">
        <v>1254</v>
      </c>
      <c r="K15" s="12">
        <v>238</v>
      </c>
      <c r="L15" s="12">
        <v>267</v>
      </c>
      <c r="M15" s="12"/>
      <c r="N15" s="12"/>
      <c r="O15" s="10">
        <v>505</v>
      </c>
      <c r="P15" s="13">
        <v>-0.15506329113924056</v>
      </c>
      <c r="Q15" s="13">
        <v>-0.12931034482758619</v>
      </c>
      <c r="R15" s="14">
        <v>3.8006159255591043E-4</v>
      </c>
    </row>
    <row r="16" spans="1:19" ht="15" customHeight="1" x14ac:dyDescent="0.25">
      <c r="A16" s="9" t="s">
        <v>32</v>
      </c>
      <c r="B16" s="10">
        <v>712620</v>
      </c>
      <c r="C16" s="10">
        <v>730029</v>
      </c>
      <c r="D16" s="10">
        <v>738536</v>
      </c>
      <c r="E16" s="10">
        <v>719917</v>
      </c>
      <c r="F16" s="11">
        <v>189957</v>
      </c>
      <c r="G16" s="11">
        <v>180511</v>
      </c>
      <c r="H16" s="11">
        <v>191315</v>
      </c>
      <c r="I16" s="11">
        <v>180787</v>
      </c>
      <c r="J16" s="10">
        <v>742570</v>
      </c>
      <c r="K16" s="12">
        <v>193516</v>
      </c>
      <c r="L16" s="12">
        <v>193289</v>
      </c>
      <c r="M16" s="12"/>
      <c r="N16" s="12"/>
      <c r="O16" s="10">
        <v>386805</v>
      </c>
      <c r="P16" s="13">
        <v>7.0787929821451323E-2</v>
      </c>
      <c r="Q16" s="13">
        <v>4.4098275694526956E-2</v>
      </c>
      <c r="R16" s="14">
        <v>0.29110836496750286</v>
      </c>
    </row>
    <row r="17" spans="1:18" ht="15" customHeight="1" x14ac:dyDescent="0.25">
      <c r="A17" s="9" t="s">
        <v>33</v>
      </c>
      <c r="B17" s="10">
        <v>334384</v>
      </c>
      <c r="C17" s="10">
        <v>340815</v>
      </c>
      <c r="D17" s="10">
        <v>334188</v>
      </c>
      <c r="E17" s="10">
        <v>329244</v>
      </c>
      <c r="F17" s="11">
        <v>89026</v>
      </c>
      <c r="G17" s="11">
        <v>83106</v>
      </c>
      <c r="H17" s="11">
        <v>87843</v>
      </c>
      <c r="I17" s="11">
        <v>85597</v>
      </c>
      <c r="J17" s="10">
        <v>345572</v>
      </c>
      <c r="K17" s="12">
        <v>89212</v>
      </c>
      <c r="L17" s="12">
        <v>83094</v>
      </c>
      <c r="M17" s="12"/>
      <c r="N17" s="12"/>
      <c r="O17" s="10">
        <v>172306</v>
      </c>
      <c r="P17" s="13">
        <v>-1.4439390657716711E-4</v>
      </c>
      <c r="Q17" s="13">
        <v>1.0108521367322432E-3</v>
      </c>
      <c r="R17" s="14">
        <v>0.12967701538007664</v>
      </c>
    </row>
    <row r="18" spans="1:18" ht="15" customHeight="1" x14ac:dyDescent="0.25">
      <c r="A18" s="9" t="s">
        <v>34</v>
      </c>
      <c r="B18" s="10">
        <v>27791</v>
      </c>
      <c r="C18" s="10">
        <v>23293</v>
      </c>
      <c r="D18" s="10">
        <v>15778</v>
      </c>
      <c r="E18" s="10">
        <v>10193</v>
      </c>
      <c r="F18" s="11">
        <v>1374</v>
      </c>
      <c r="G18" s="11">
        <v>1984</v>
      </c>
      <c r="H18" s="11">
        <v>1958</v>
      </c>
      <c r="I18" s="11">
        <v>2565</v>
      </c>
      <c r="J18" s="10">
        <v>7881</v>
      </c>
      <c r="K18" s="12">
        <v>1104</v>
      </c>
      <c r="L18" s="12">
        <v>1788</v>
      </c>
      <c r="M18" s="12"/>
      <c r="N18" s="12"/>
      <c r="O18" s="10">
        <v>2892</v>
      </c>
      <c r="P18" s="13">
        <v>-9.8790322580645129E-2</v>
      </c>
      <c r="Q18" s="13">
        <v>-0.13877307921381776</v>
      </c>
      <c r="R18" s="14">
        <v>2.1765111399439465E-3</v>
      </c>
    </row>
    <row r="19" spans="1:18" ht="15" customHeight="1" x14ac:dyDescent="0.25">
      <c r="A19" t="s">
        <v>35</v>
      </c>
      <c r="B19" s="10">
        <f>SUBTOTAL(109,Tabell_Gris[2021])</f>
        <v>2647847</v>
      </c>
      <c r="C19" s="10">
        <f>SUBTOTAL(109,Tabell_Gris[2022])</f>
        <v>2668928</v>
      </c>
      <c r="D19" s="10">
        <f>SUBTOTAL(109,Tabell_Gris[2023])</f>
        <v>2568334</v>
      </c>
      <c r="E19" s="10">
        <f>SUBTOTAL(109,Tabell_Gris[2024])</f>
        <v>2576636</v>
      </c>
      <c r="F19" s="10">
        <f>SUBTOTAL(109,Tabell_Gris[Kvartal 1 2025])</f>
        <v>658272</v>
      </c>
      <c r="G19" s="10">
        <f>SUBTOTAL(109,Tabell_Gris[Kvartal 2 2025])</f>
        <v>626794</v>
      </c>
      <c r="H19" s="10">
        <f>SUBTOTAL(109,Tabell_Gris[Kvartal 3 2025])</f>
        <v>665435</v>
      </c>
      <c r="I19" s="10">
        <f>SUBTOTAL(109,Tabell_Gris[Kvartal 4 2025])</f>
        <v>648859</v>
      </c>
      <c r="J19" s="10">
        <f>SUBTOTAL(109,Tabell_Gris[2025])</f>
        <v>2599360</v>
      </c>
      <c r="K19" s="10">
        <f>SUBTOTAL(109,Tabell_Gris[Kvartal 1 2026])</f>
        <v>679347</v>
      </c>
      <c r="L19" s="10">
        <f>SUBTOTAL(109,Tabell_Gris[Kvartal 2 2026])</f>
        <v>649385</v>
      </c>
      <c r="M19" s="10">
        <f>SUBTOTAL(109,Tabell_Gris[Kvartal 3 2026])</f>
        <v>0</v>
      </c>
      <c r="N19" s="10">
        <f>SUBTOTAL(109,Tabell_Gris[Kvartal 4 2026])</f>
        <v>0</v>
      </c>
      <c r="O19" s="10">
        <f>SUBTOTAL(109,Tabell_Gris[2026])</f>
        <v>1328732</v>
      </c>
      <c r="P19" s="16">
        <f>L19/G19-1</f>
        <v>3.6042144628059658E-2</v>
      </c>
      <c r="Q19" s="16">
        <f>O19/SUM(F19:G19)-1</f>
        <v>3.3979577702623942E-2</v>
      </c>
      <c r="R19" s="14">
        <f>SUBTOTAL(109,Tabell_Gris[Procentuell andel 2026*])</f>
        <v>1</v>
      </c>
    </row>
    <row r="20" spans="1:18" ht="15" customHeight="1" x14ac:dyDescent="0.25">
      <c r="A20" t="s">
        <v>36</v>
      </c>
    </row>
    <row r="21" spans="1:18" ht="15" customHeight="1" x14ac:dyDescent="0.25">
      <c r="A21" t="s">
        <v>37</v>
      </c>
    </row>
    <row r="22" spans="1:18" ht="15" customHeight="1" x14ac:dyDescent="0.25">
      <c r="A22" t="s">
        <v>38</v>
      </c>
    </row>
    <row r="23" spans="1:18" ht="15" customHeight="1" x14ac:dyDescent="0.25">
      <c r="A23" t="s">
        <v>39</v>
      </c>
    </row>
    <row r="24" spans="1:18" ht="15" customHeight="1" x14ac:dyDescent="0.25"/>
    <row r="25" spans="1:18" ht="15" customHeight="1" x14ac:dyDescent="0.25"/>
    <row r="26" spans="1:18" ht="15" customHeight="1" x14ac:dyDescent="0.25"/>
    <row r="27" spans="1:18" ht="15" customHeight="1" x14ac:dyDescent="0.25"/>
    <row r="28" spans="1:18" ht="15" customHeight="1" x14ac:dyDescent="0.25"/>
    <row r="29" spans="1:18" ht="15" customHeight="1" x14ac:dyDescent="0.25"/>
    <row r="30" spans="1:18" ht="15" customHeight="1" x14ac:dyDescent="0.25"/>
    <row r="31" spans="1:18" ht="15" customHeight="1" x14ac:dyDescent="0.25"/>
    <row r="32" spans="1:1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</sheetData>
  <pageMargins left="0.70866141732283472" right="0.31496062992125984" top="0.55118110236220474" bottom="0.74803149606299213" header="0.31496062992125984" footer="0.31496062992125984"/>
  <pageSetup paperSize="9" scale="76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958A2-F53D-4D24-89E5-8AE43BC6D3FC}">
  <sheetPr codeName="flKalv">
    <pageSetUpPr fitToPage="1"/>
  </sheetPr>
  <dimension ref="A1:W69"/>
  <sheetViews>
    <sheetView workbookViewId="0">
      <selection activeCell="A2" sqref="A2"/>
    </sheetView>
  </sheetViews>
  <sheetFormatPr defaultColWidth="9.140625" defaultRowHeight="15" x14ac:dyDescent="0.25"/>
  <cols>
    <col min="1" max="1" width="27" customWidth="1"/>
    <col min="2" max="15" width="8.28515625" customWidth="1"/>
    <col min="16" max="16" width="9.28515625" customWidth="1"/>
    <col min="17" max="17" width="10.140625" customWidth="1"/>
    <col min="18" max="18" width="10" customWidth="1"/>
  </cols>
  <sheetData>
    <row r="1" spans="1:23" ht="92.25" customHeight="1" x14ac:dyDescent="0.25">
      <c r="A1" s="1" t="s">
        <v>40</v>
      </c>
      <c r="C1" s="1"/>
      <c r="J1" s="1"/>
      <c r="R1" s="2"/>
    </row>
    <row r="2" spans="1:23" ht="4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4" t="s">
        <v>15</v>
      </c>
      <c r="P2" s="6" t="s">
        <v>16</v>
      </c>
      <c r="Q2" s="6" t="s">
        <v>17</v>
      </c>
      <c r="R2" s="7" t="s">
        <v>18</v>
      </c>
    </row>
    <row r="3" spans="1:23" ht="15" customHeight="1" x14ac:dyDescent="0.25">
      <c r="A3" s="9" t="s">
        <v>41</v>
      </c>
      <c r="B3" s="17">
        <v>62</v>
      </c>
      <c r="C3" s="17">
        <v>58</v>
      </c>
      <c r="D3" s="17">
        <v>59</v>
      </c>
      <c r="E3" s="17">
        <v>61</v>
      </c>
      <c r="F3" s="18">
        <v>17</v>
      </c>
      <c r="G3" s="18">
        <v>13</v>
      </c>
      <c r="H3" s="18">
        <v>14</v>
      </c>
      <c r="I3" s="18">
        <v>15</v>
      </c>
      <c r="J3" s="17">
        <v>59</v>
      </c>
      <c r="K3" s="19">
        <v>7</v>
      </c>
      <c r="L3" s="19"/>
      <c r="M3" s="12"/>
      <c r="N3" s="12"/>
      <c r="O3" s="17">
        <v>7</v>
      </c>
      <c r="P3" s="20">
        <v>-1</v>
      </c>
      <c r="Q3" s="21">
        <v>-0.76666666666666661</v>
      </c>
      <c r="R3" s="22">
        <v>2.8901734104046241E-3</v>
      </c>
      <c r="U3" s="23" t="s">
        <v>42</v>
      </c>
    </row>
    <row r="4" spans="1:23" ht="15" customHeight="1" x14ac:dyDescent="0.25">
      <c r="A4" s="9" t="s">
        <v>43</v>
      </c>
      <c r="B4" s="17">
        <v>3</v>
      </c>
      <c r="C4" s="17">
        <v>9</v>
      </c>
      <c r="D4" s="17">
        <v>4</v>
      </c>
      <c r="E4" s="17">
        <v>2</v>
      </c>
      <c r="F4" s="18">
        <v>1</v>
      </c>
      <c r="G4" s="18"/>
      <c r="H4" s="18"/>
      <c r="I4" s="18">
        <v>2</v>
      </c>
      <c r="J4" s="17">
        <v>3</v>
      </c>
      <c r="K4" s="19">
        <v>5</v>
      </c>
      <c r="L4" s="19">
        <v>1</v>
      </c>
      <c r="M4" s="12"/>
      <c r="N4" s="12"/>
      <c r="O4" s="17">
        <v>6</v>
      </c>
      <c r="P4" s="20" t="s">
        <v>44</v>
      </c>
      <c r="Q4" s="21">
        <v>5</v>
      </c>
      <c r="R4" s="22">
        <v>2.477291494632535E-3</v>
      </c>
    </row>
    <row r="5" spans="1:23" ht="15" customHeight="1" x14ac:dyDescent="0.25">
      <c r="A5" s="9" t="s">
        <v>45</v>
      </c>
      <c r="B5" s="17">
        <v>100</v>
      </c>
      <c r="C5" s="17">
        <v>130</v>
      </c>
      <c r="D5" s="17">
        <v>135</v>
      </c>
      <c r="E5" s="17">
        <v>119</v>
      </c>
      <c r="F5" s="18">
        <v>33</v>
      </c>
      <c r="G5" s="18">
        <v>50</v>
      </c>
      <c r="H5" s="18">
        <v>38</v>
      </c>
      <c r="I5" s="18">
        <v>42</v>
      </c>
      <c r="J5" s="17">
        <v>163</v>
      </c>
      <c r="K5" s="19">
        <v>51</v>
      </c>
      <c r="L5" s="19">
        <v>47</v>
      </c>
      <c r="M5" s="12"/>
      <c r="N5" s="12"/>
      <c r="O5" s="17">
        <v>98</v>
      </c>
      <c r="P5" s="20">
        <v>-6.0000000000000053E-2</v>
      </c>
      <c r="Q5" s="21">
        <v>0.18072289156626509</v>
      </c>
      <c r="R5" s="22">
        <v>4.046242774566474E-2</v>
      </c>
    </row>
    <row r="6" spans="1:23" ht="15" customHeight="1" x14ac:dyDescent="0.25">
      <c r="A6" s="9" t="s">
        <v>21</v>
      </c>
      <c r="B6" s="17">
        <v>245</v>
      </c>
      <c r="C6" s="17">
        <v>230</v>
      </c>
      <c r="D6" s="17">
        <v>209</v>
      </c>
      <c r="E6" s="17">
        <v>319</v>
      </c>
      <c r="F6" s="18">
        <v>57</v>
      </c>
      <c r="G6" s="18">
        <v>39</v>
      </c>
      <c r="H6" s="18">
        <v>30</v>
      </c>
      <c r="I6" s="18">
        <v>57</v>
      </c>
      <c r="J6" s="17">
        <v>183</v>
      </c>
      <c r="K6" s="19">
        <v>26</v>
      </c>
      <c r="L6" s="19">
        <v>36</v>
      </c>
      <c r="M6" s="12"/>
      <c r="N6" s="12"/>
      <c r="O6" s="17">
        <v>62</v>
      </c>
      <c r="P6" s="20">
        <v>-7.6923076923076872E-2</v>
      </c>
      <c r="Q6" s="21">
        <v>-0.35416666666666663</v>
      </c>
      <c r="R6" s="22">
        <v>2.5598678777869529E-2</v>
      </c>
      <c r="W6" s="23" t="s">
        <v>46</v>
      </c>
    </row>
    <row r="7" spans="1:23" ht="15" customHeight="1" x14ac:dyDescent="0.25">
      <c r="A7" s="9" t="s">
        <v>47</v>
      </c>
      <c r="B7" s="17">
        <v>319</v>
      </c>
      <c r="C7" s="17">
        <v>328</v>
      </c>
      <c r="D7" s="17">
        <v>401</v>
      </c>
      <c r="E7" s="17">
        <v>376</v>
      </c>
      <c r="F7" s="18">
        <v>125</v>
      </c>
      <c r="G7" s="18">
        <v>146</v>
      </c>
      <c r="H7" s="18">
        <v>137</v>
      </c>
      <c r="I7" s="18">
        <v>110</v>
      </c>
      <c r="J7" s="17">
        <v>518</v>
      </c>
      <c r="K7" s="19">
        <v>97</v>
      </c>
      <c r="L7" s="19">
        <v>104</v>
      </c>
      <c r="M7" s="12"/>
      <c r="N7" s="12"/>
      <c r="O7" s="17">
        <v>201</v>
      </c>
      <c r="P7" s="20">
        <v>-0.28767123287671237</v>
      </c>
      <c r="Q7" s="21">
        <v>-0.25830258302583031</v>
      </c>
      <c r="R7" s="22">
        <v>8.298926507018993E-2</v>
      </c>
    </row>
    <row r="8" spans="1:23" ht="15" customHeight="1" x14ac:dyDescent="0.25">
      <c r="A8" s="9" t="s">
        <v>48</v>
      </c>
      <c r="B8" s="17">
        <v>169</v>
      </c>
      <c r="C8" s="17">
        <v>95</v>
      </c>
      <c r="D8" s="17">
        <v>512</v>
      </c>
      <c r="E8" s="17">
        <v>1293</v>
      </c>
      <c r="F8" s="18">
        <v>960</v>
      </c>
      <c r="G8" s="18">
        <v>970</v>
      </c>
      <c r="H8" s="18">
        <v>665</v>
      </c>
      <c r="I8" s="18">
        <v>586</v>
      </c>
      <c r="J8" s="17">
        <v>3181</v>
      </c>
      <c r="K8" s="19">
        <v>555</v>
      </c>
      <c r="L8" s="19">
        <v>483</v>
      </c>
      <c r="M8" s="12"/>
      <c r="N8" s="12"/>
      <c r="O8" s="17">
        <v>1038</v>
      </c>
      <c r="P8" s="20">
        <v>-0.50206185567010309</v>
      </c>
      <c r="Q8" s="21">
        <v>-0.46217616580310883</v>
      </c>
      <c r="R8" s="22">
        <v>0.42857142857142855</v>
      </c>
    </row>
    <row r="9" spans="1:23" ht="15" customHeight="1" x14ac:dyDescent="0.25">
      <c r="A9" s="9" t="s">
        <v>49</v>
      </c>
      <c r="B9" s="17">
        <v>559</v>
      </c>
      <c r="C9" s="17">
        <v>638</v>
      </c>
      <c r="D9" s="17">
        <v>610</v>
      </c>
      <c r="E9" s="17">
        <v>704</v>
      </c>
      <c r="F9" s="18">
        <v>207</v>
      </c>
      <c r="G9" s="18">
        <v>180</v>
      </c>
      <c r="H9" s="18">
        <v>162</v>
      </c>
      <c r="I9" s="18">
        <v>163</v>
      </c>
      <c r="J9" s="17">
        <v>712</v>
      </c>
      <c r="K9" s="19">
        <v>153</v>
      </c>
      <c r="L9" s="19">
        <v>151</v>
      </c>
      <c r="M9" s="12"/>
      <c r="N9" s="12"/>
      <c r="O9" s="17">
        <v>304</v>
      </c>
      <c r="P9" s="20">
        <v>-0.16111111111111109</v>
      </c>
      <c r="Q9" s="21">
        <v>-0.21447028423772607</v>
      </c>
      <c r="R9" s="22">
        <v>0.12551610239471511</v>
      </c>
    </row>
    <row r="10" spans="1:23" ht="15" customHeight="1" x14ac:dyDescent="0.25">
      <c r="A10" s="9" t="s">
        <v>23</v>
      </c>
      <c r="B10" s="17">
        <v>28</v>
      </c>
      <c r="C10" s="17">
        <v>31</v>
      </c>
      <c r="D10" s="17">
        <v>15</v>
      </c>
      <c r="E10" s="17">
        <v>44</v>
      </c>
      <c r="F10" s="18">
        <v>8</v>
      </c>
      <c r="G10" s="18">
        <v>6</v>
      </c>
      <c r="H10" s="18">
        <v>6</v>
      </c>
      <c r="I10" s="18">
        <v>18</v>
      </c>
      <c r="J10" s="17">
        <v>38</v>
      </c>
      <c r="K10" s="19">
        <v>5</v>
      </c>
      <c r="L10" s="19">
        <v>4</v>
      </c>
      <c r="M10" s="12"/>
      <c r="N10" s="12"/>
      <c r="O10" s="17">
        <v>9</v>
      </c>
      <c r="P10" s="20">
        <v>-0.33333333333333337</v>
      </c>
      <c r="Q10" s="21">
        <v>-0.3571428571428571</v>
      </c>
      <c r="R10" s="22">
        <v>3.7159372419488025E-3</v>
      </c>
    </row>
    <row r="11" spans="1:23" ht="15" customHeight="1" x14ac:dyDescent="0.25">
      <c r="A11" s="9" t="s">
        <v>50</v>
      </c>
      <c r="B11" s="17">
        <v>43</v>
      </c>
      <c r="C11" s="17">
        <v>12</v>
      </c>
      <c r="D11" s="17">
        <v>86</v>
      </c>
      <c r="E11" s="17">
        <v>70</v>
      </c>
      <c r="F11" s="18">
        <v>28</v>
      </c>
      <c r="G11" s="18">
        <v>5</v>
      </c>
      <c r="H11" s="18">
        <v>4</v>
      </c>
      <c r="I11" s="18">
        <v>47</v>
      </c>
      <c r="J11" s="17">
        <v>84</v>
      </c>
      <c r="K11" s="19">
        <v>3</v>
      </c>
      <c r="L11" s="19">
        <v>4</v>
      </c>
      <c r="M11" s="12"/>
      <c r="N11" s="12"/>
      <c r="O11" s="17">
        <v>7</v>
      </c>
      <c r="P11" s="20">
        <v>-0.19999999999999996</v>
      </c>
      <c r="Q11" s="21">
        <v>-0.78787878787878785</v>
      </c>
      <c r="R11" s="22">
        <v>2.8901734104046241E-3</v>
      </c>
    </row>
    <row r="12" spans="1:23" ht="15" customHeight="1" x14ac:dyDescent="0.25">
      <c r="A12" s="9" t="s">
        <v>24</v>
      </c>
      <c r="B12" s="17">
        <v>110</v>
      </c>
      <c r="C12" s="17">
        <v>103</v>
      </c>
      <c r="D12" s="17">
        <v>80</v>
      </c>
      <c r="E12" s="17">
        <v>59</v>
      </c>
      <c r="F12" s="18">
        <v>13</v>
      </c>
      <c r="G12" s="18">
        <v>26</v>
      </c>
      <c r="H12" s="18">
        <v>25</v>
      </c>
      <c r="I12" s="18">
        <v>25</v>
      </c>
      <c r="J12" s="17">
        <v>89</v>
      </c>
      <c r="K12" s="19">
        <v>18</v>
      </c>
      <c r="L12" s="19">
        <v>17</v>
      </c>
      <c r="M12" s="12"/>
      <c r="N12" s="12"/>
      <c r="O12" s="17">
        <v>35</v>
      </c>
      <c r="P12" s="20">
        <v>-0.34615384615384615</v>
      </c>
      <c r="Q12" s="21">
        <v>-0.10256410256410253</v>
      </c>
      <c r="R12" s="22">
        <v>1.4450867052023121E-2</v>
      </c>
    </row>
    <row r="13" spans="1:23" ht="15" customHeight="1" x14ac:dyDescent="0.25">
      <c r="A13" s="9" t="s">
        <v>51</v>
      </c>
      <c r="B13" s="17">
        <v>241</v>
      </c>
      <c r="C13" s="17">
        <v>386</v>
      </c>
      <c r="D13" s="17">
        <v>1182</v>
      </c>
      <c r="E13" s="17">
        <v>969</v>
      </c>
      <c r="F13" s="18">
        <v>93</v>
      </c>
      <c r="G13" s="18">
        <v>58</v>
      </c>
      <c r="H13" s="18">
        <v>5</v>
      </c>
      <c r="I13" s="18">
        <v>8</v>
      </c>
      <c r="J13" s="17">
        <v>164</v>
      </c>
      <c r="K13" s="19">
        <v>7</v>
      </c>
      <c r="L13" s="19">
        <v>2</v>
      </c>
      <c r="M13" s="12"/>
      <c r="N13" s="12"/>
      <c r="O13" s="17">
        <v>9</v>
      </c>
      <c r="P13" s="20">
        <v>-0.96551724137931039</v>
      </c>
      <c r="Q13" s="21">
        <v>-0.94039735099337751</v>
      </c>
      <c r="R13" s="22">
        <v>3.7159372419488025E-3</v>
      </c>
    </row>
    <row r="14" spans="1:23" ht="15" customHeight="1" x14ac:dyDescent="0.25">
      <c r="A14" s="9" t="s">
        <v>28</v>
      </c>
      <c r="B14" s="17">
        <v>111</v>
      </c>
      <c r="C14" s="17">
        <v>235</v>
      </c>
      <c r="D14" s="17">
        <v>208</v>
      </c>
      <c r="E14" s="17">
        <v>51</v>
      </c>
      <c r="F14" s="18"/>
      <c r="G14" s="18"/>
      <c r="H14" s="18">
        <v>4</v>
      </c>
      <c r="I14" s="18">
        <v>19</v>
      </c>
      <c r="J14" s="17">
        <v>23</v>
      </c>
      <c r="K14" s="19"/>
      <c r="L14" s="19">
        <v>8</v>
      </c>
      <c r="M14" s="12"/>
      <c r="N14" s="12"/>
      <c r="O14" s="17">
        <v>8</v>
      </c>
      <c r="P14" s="20" t="s">
        <v>44</v>
      </c>
      <c r="Q14" s="21" t="s">
        <v>44</v>
      </c>
      <c r="R14" s="22">
        <v>3.3030553261767133E-3</v>
      </c>
    </row>
    <row r="15" spans="1:23" ht="15" customHeight="1" x14ac:dyDescent="0.25">
      <c r="A15" s="9" t="s">
        <v>52</v>
      </c>
      <c r="B15" s="17">
        <v>73</v>
      </c>
      <c r="C15" s="17">
        <v>72</v>
      </c>
      <c r="D15" s="17">
        <v>111</v>
      </c>
      <c r="E15" s="17">
        <v>117</v>
      </c>
      <c r="F15" s="18">
        <v>6</v>
      </c>
      <c r="G15" s="18">
        <v>10</v>
      </c>
      <c r="H15" s="18">
        <v>14</v>
      </c>
      <c r="I15" s="18">
        <v>15</v>
      </c>
      <c r="J15" s="17">
        <v>45</v>
      </c>
      <c r="K15" s="19">
        <v>6</v>
      </c>
      <c r="L15" s="19">
        <v>17</v>
      </c>
      <c r="M15" s="12"/>
      <c r="N15" s="12"/>
      <c r="O15" s="17">
        <v>23</v>
      </c>
      <c r="P15" s="20">
        <v>0.7</v>
      </c>
      <c r="Q15" s="21">
        <v>0.4375</v>
      </c>
      <c r="R15" s="22">
        <v>9.4962840627580512E-3</v>
      </c>
    </row>
    <row r="16" spans="1:23" ht="15" customHeight="1" x14ac:dyDescent="0.25">
      <c r="A16" s="9" t="s">
        <v>53</v>
      </c>
      <c r="B16" s="17">
        <v>589</v>
      </c>
      <c r="C16" s="17">
        <v>509</v>
      </c>
      <c r="D16" s="17">
        <v>593</v>
      </c>
      <c r="E16" s="17">
        <v>583</v>
      </c>
      <c r="F16" s="18">
        <v>150</v>
      </c>
      <c r="G16" s="18">
        <v>106</v>
      </c>
      <c r="H16" s="18">
        <v>82</v>
      </c>
      <c r="I16" s="18">
        <v>164</v>
      </c>
      <c r="J16" s="17">
        <v>502</v>
      </c>
      <c r="K16" s="19">
        <v>138</v>
      </c>
      <c r="L16" s="19">
        <v>85</v>
      </c>
      <c r="M16" s="12"/>
      <c r="N16" s="12"/>
      <c r="O16" s="17">
        <v>223</v>
      </c>
      <c r="P16" s="20">
        <v>-0.19811320754716977</v>
      </c>
      <c r="Q16" s="21">
        <v>-0.12890625</v>
      </c>
      <c r="R16" s="22">
        <v>9.2072667217175885E-2</v>
      </c>
    </row>
    <row r="17" spans="1:18" ht="15" customHeight="1" x14ac:dyDescent="0.25">
      <c r="A17" s="9" t="s">
        <v>30</v>
      </c>
      <c r="B17" s="17">
        <v>32</v>
      </c>
      <c r="C17" s="17">
        <v>23</v>
      </c>
      <c r="D17" s="17">
        <v>38</v>
      </c>
      <c r="E17" s="17">
        <v>24</v>
      </c>
      <c r="F17" s="18">
        <v>2</v>
      </c>
      <c r="G17" s="18">
        <v>14</v>
      </c>
      <c r="H17" s="18">
        <v>8</v>
      </c>
      <c r="I17" s="18">
        <v>14</v>
      </c>
      <c r="J17" s="17">
        <v>38</v>
      </c>
      <c r="K17" s="19">
        <v>10</v>
      </c>
      <c r="L17" s="19">
        <v>14</v>
      </c>
      <c r="M17" s="12"/>
      <c r="N17" s="12"/>
      <c r="O17" s="17">
        <v>24</v>
      </c>
      <c r="P17" s="20">
        <v>0</v>
      </c>
      <c r="Q17" s="21">
        <v>0.5</v>
      </c>
      <c r="R17" s="22">
        <v>9.9091659785301399E-3</v>
      </c>
    </row>
    <row r="18" spans="1:18" ht="15" customHeight="1" x14ac:dyDescent="0.25">
      <c r="A18" s="9" t="s">
        <v>31</v>
      </c>
      <c r="B18" s="17">
        <v>17</v>
      </c>
      <c r="C18" s="17">
        <v>42</v>
      </c>
      <c r="D18" s="17">
        <v>90</v>
      </c>
      <c r="E18" s="17">
        <v>71</v>
      </c>
      <c r="F18" s="18">
        <v>10</v>
      </c>
      <c r="G18" s="18">
        <v>8</v>
      </c>
      <c r="H18" s="18">
        <v>7</v>
      </c>
      <c r="I18" s="18">
        <v>7</v>
      </c>
      <c r="J18" s="17">
        <v>32</v>
      </c>
      <c r="K18" s="19">
        <v>7</v>
      </c>
      <c r="L18" s="19">
        <v>4</v>
      </c>
      <c r="M18" s="12"/>
      <c r="N18" s="12"/>
      <c r="O18" s="17">
        <v>11</v>
      </c>
      <c r="P18" s="20">
        <v>-0.5</v>
      </c>
      <c r="Q18" s="21">
        <v>-0.38888888888888884</v>
      </c>
      <c r="R18" s="22">
        <v>4.5417010734929812E-3</v>
      </c>
    </row>
    <row r="19" spans="1:18" ht="15" customHeight="1" x14ac:dyDescent="0.25">
      <c r="A19" s="9" t="s">
        <v>54</v>
      </c>
      <c r="B19" s="17">
        <v>5830</v>
      </c>
      <c r="C19" s="17">
        <v>6103</v>
      </c>
      <c r="D19" s="17">
        <v>5472</v>
      </c>
      <c r="E19" s="17">
        <v>3901</v>
      </c>
      <c r="F19" s="18">
        <v>2</v>
      </c>
      <c r="G19" s="18">
        <v>10</v>
      </c>
      <c r="H19" s="18">
        <v>1</v>
      </c>
      <c r="I19" s="18">
        <v>24</v>
      </c>
      <c r="J19" s="17">
        <v>37</v>
      </c>
      <c r="K19" s="19">
        <v>1</v>
      </c>
      <c r="L19" s="19">
        <v>4</v>
      </c>
      <c r="M19" s="12"/>
      <c r="N19" s="12"/>
      <c r="O19" s="17">
        <v>5</v>
      </c>
      <c r="P19" s="20">
        <v>-0.6</v>
      </c>
      <c r="Q19" s="21">
        <v>-0.58333333333333326</v>
      </c>
      <c r="R19" s="22">
        <v>2.0644095788604458E-3</v>
      </c>
    </row>
    <row r="20" spans="1:18" ht="15" customHeight="1" x14ac:dyDescent="0.25">
      <c r="A20" s="9" t="s">
        <v>55</v>
      </c>
      <c r="B20" s="17">
        <v>48</v>
      </c>
      <c r="C20" s="17">
        <v>46</v>
      </c>
      <c r="D20" s="17">
        <v>31</v>
      </c>
      <c r="E20" s="17">
        <v>34</v>
      </c>
      <c r="F20" s="18">
        <v>1</v>
      </c>
      <c r="G20" s="18">
        <v>4</v>
      </c>
      <c r="H20" s="18">
        <v>7</v>
      </c>
      <c r="I20" s="18">
        <v>2</v>
      </c>
      <c r="J20" s="17">
        <v>14</v>
      </c>
      <c r="K20" s="19">
        <v>9</v>
      </c>
      <c r="L20" s="19">
        <v>13</v>
      </c>
      <c r="M20" s="12"/>
      <c r="N20" s="12"/>
      <c r="O20" s="17">
        <v>22</v>
      </c>
      <c r="P20" s="20">
        <v>2.25</v>
      </c>
      <c r="Q20" s="21">
        <v>3.4000000000000004</v>
      </c>
      <c r="R20" s="22">
        <v>9.0834021469859624E-3</v>
      </c>
    </row>
    <row r="21" spans="1:18" ht="15" customHeight="1" x14ac:dyDescent="0.25">
      <c r="A21" s="9" t="s">
        <v>33</v>
      </c>
      <c r="B21" s="17">
        <v>1877</v>
      </c>
      <c r="C21" s="17">
        <v>1312</v>
      </c>
      <c r="D21" s="17">
        <v>101</v>
      </c>
      <c r="E21" s="17">
        <v>302</v>
      </c>
      <c r="F21" s="18">
        <v>193</v>
      </c>
      <c r="G21" s="18">
        <v>201</v>
      </c>
      <c r="H21" s="18">
        <v>190</v>
      </c>
      <c r="I21" s="18">
        <v>162</v>
      </c>
      <c r="J21" s="17">
        <v>746</v>
      </c>
      <c r="K21" s="19">
        <v>121</v>
      </c>
      <c r="L21" s="19">
        <v>123</v>
      </c>
      <c r="M21" s="12"/>
      <c r="N21" s="12"/>
      <c r="O21" s="17">
        <v>244</v>
      </c>
      <c r="P21" s="20">
        <v>-0.38805970149253732</v>
      </c>
      <c r="Q21" s="21">
        <v>-0.38071065989847719</v>
      </c>
      <c r="R21" s="22">
        <v>0.10074318744838975</v>
      </c>
    </row>
    <row r="22" spans="1:18" ht="15" customHeight="1" x14ac:dyDescent="0.25">
      <c r="A22" s="9" t="s">
        <v>56</v>
      </c>
      <c r="B22" s="17">
        <v>92</v>
      </c>
      <c r="C22" s="17">
        <v>102</v>
      </c>
      <c r="D22" s="17">
        <v>69</v>
      </c>
      <c r="E22" s="17">
        <v>97</v>
      </c>
      <c r="F22" s="18">
        <v>16</v>
      </c>
      <c r="G22" s="18">
        <v>6</v>
      </c>
      <c r="H22" s="18">
        <v>8</v>
      </c>
      <c r="I22" s="18">
        <v>68</v>
      </c>
      <c r="J22" s="17">
        <v>98</v>
      </c>
      <c r="K22" s="19">
        <v>9</v>
      </c>
      <c r="L22" s="19">
        <v>3</v>
      </c>
      <c r="M22" s="12"/>
      <c r="N22" s="12"/>
      <c r="O22" s="17">
        <v>12</v>
      </c>
      <c r="P22" s="20">
        <v>-0.5</v>
      </c>
      <c r="Q22" s="21">
        <v>-0.45454545454545459</v>
      </c>
      <c r="R22" s="22">
        <v>4.9545829892650699E-3</v>
      </c>
    </row>
    <row r="23" spans="1:18" ht="15" customHeight="1" x14ac:dyDescent="0.25">
      <c r="A23" s="9" t="s">
        <v>34</v>
      </c>
      <c r="B23" s="17">
        <v>951</v>
      </c>
      <c r="C23" s="17">
        <v>1010</v>
      </c>
      <c r="D23" s="17">
        <v>971</v>
      </c>
      <c r="E23" s="17">
        <v>760</v>
      </c>
      <c r="F23" s="18">
        <v>169</v>
      </c>
      <c r="G23" s="18">
        <v>111</v>
      </c>
      <c r="H23" s="18">
        <v>107</v>
      </c>
      <c r="I23" s="18">
        <v>147</v>
      </c>
      <c r="J23" s="17">
        <v>534</v>
      </c>
      <c r="K23" s="19">
        <v>47</v>
      </c>
      <c r="L23" s="19">
        <v>27</v>
      </c>
      <c r="M23" s="12"/>
      <c r="N23" s="12"/>
      <c r="O23" s="17">
        <v>74</v>
      </c>
      <c r="P23" s="20">
        <v>-0.7567567567567568</v>
      </c>
      <c r="Q23" s="21">
        <v>-0.73571428571428577</v>
      </c>
      <c r="R23" s="22">
        <v>3.0553261767134601E-2</v>
      </c>
    </row>
    <row r="24" spans="1:18" ht="15" customHeight="1" x14ac:dyDescent="0.25">
      <c r="A24" t="s">
        <v>35</v>
      </c>
      <c r="B24" s="10">
        <f>SUBTOTAL(109,Tabell_Kalv[2021])</f>
        <v>11499</v>
      </c>
      <c r="C24" s="10">
        <f>SUBTOTAL(109,Tabell_Kalv[2022])</f>
        <v>11474</v>
      </c>
      <c r="D24" s="10">
        <f>SUBTOTAL(109,Tabell_Kalv[2023])</f>
        <v>10977</v>
      </c>
      <c r="E24" s="10">
        <f>SUBTOTAL(109,Tabell_Kalv[2024])</f>
        <v>9956</v>
      </c>
      <c r="F24" s="10">
        <f>SUBTOTAL(109,Tabell_Kalv[Kvartal 1 2025])</f>
        <v>2091</v>
      </c>
      <c r="G24" s="10">
        <f>SUBTOTAL(109,Tabell_Kalv[Kvartal 2 2025])</f>
        <v>1963</v>
      </c>
      <c r="H24" s="10">
        <f>SUBTOTAL(109,Tabell_Kalv[Kvartal 3 2025])</f>
        <v>1514</v>
      </c>
      <c r="I24" s="10">
        <f>SUBTOTAL(109,Tabell_Kalv[Kvartal 4 2025])</f>
        <v>1695</v>
      </c>
      <c r="J24" s="10">
        <f>SUBTOTAL(109,Tabell_Kalv[2025])</f>
        <v>7263</v>
      </c>
      <c r="K24" s="10">
        <f>SUBTOTAL(109,Tabell_Kalv[Kvartal 1 2026])</f>
        <v>1275</v>
      </c>
      <c r="L24" s="10">
        <f>SUBTOTAL(109,Tabell_Kalv[Kvartal 2 2026])</f>
        <v>1147</v>
      </c>
      <c r="M24" s="10">
        <f>SUBTOTAL(109,Tabell_Kalv[Kvartal 3 2026])</f>
        <v>0</v>
      </c>
      <c r="N24" s="10">
        <f>SUBTOTAL(109,Tabell_Kalv[Kvartal 4 2026])</f>
        <v>0</v>
      </c>
      <c r="O24" s="10">
        <f>SUBTOTAL(109,Tabell_Kalv[2026])</f>
        <v>2422</v>
      </c>
      <c r="P24" s="16">
        <f>L24/G24-1</f>
        <v>-0.41569026999490577</v>
      </c>
      <c r="Q24" s="16">
        <f>O24/SUM(F24:G24)-1</f>
        <v>-0.4025653675382338</v>
      </c>
      <c r="R24" s="14">
        <f>SUBTOTAL(109,Tabell_Kalv[Procentuell andel 2026*])</f>
        <v>1</v>
      </c>
    </row>
    <row r="25" spans="1:18" ht="15" customHeight="1" x14ac:dyDescent="0.25">
      <c r="A25" t="s">
        <v>57</v>
      </c>
    </row>
    <row r="26" spans="1:18" ht="15" customHeight="1" x14ac:dyDescent="0.25">
      <c r="A26" t="s">
        <v>37</v>
      </c>
    </row>
    <row r="27" spans="1:18" ht="15" customHeight="1" x14ac:dyDescent="0.25">
      <c r="A27" t="s">
        <v>58</v>
      </c>
    </row>
    <row r="28" spans="1:18" ht="15" customHeight="1" x14ac:dyDescent="0.25">
      <c r="A28" t="s">
        <v>39</v>
      </c>
    </row>
    <row r="29" spans="1:18" ht="15" customHeight="1" x14ac:dyDescent="0.25"/>
    <row r="30" spans="1:18" ht="15" customHeight="1" x14ac:dyDescent="0.25"/>
    <row r="31" spans="1:18" ht="15" customHeight="1" x14ac:dyDescent="0.25"/>
    <row r="32" spans="1:1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</sheetData>
  <pageMargins left="0.70866141732283472" right="0.31496062992125984" top="0.55118110236220474" bottom="0.74803149606299213" header="0.31496062992125984" footer="0.31496062992125984"/>
  <pageSetup paperSize="9" scale="78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5B35D-D38F-49C2-843F-E3760CB565B8}">
  <sheetPr codeName="flStorb">
    <pageSetUpPr fitToPage="1"/>
  </sheetPr>
  <dimension ref="A1:R79"/>
  <sheetViews>
    <sheetView workbookViewId="0">
      <selection activeCell="A2" sqref="A2"/>
    </sheetView>
  </sheetViews>
  <sheetFormatPr defaultColWidth="9.140625" defaultRowHeight="15" x14ac:dyDescent="0.25"/>
  <cols>
    <col min="1" max="1" width="27" customWidth="1"/>
    <col min="2" max="15" width="8.28515625" customWidth="1"/>
    <col min="16" max="16" width="9.28515625" customWidth="1"/>
    <col min="17" max="17" width="10.140625" customWidth="1"/>
    <col min="18" max="18" width="10" customWidth="1"/>
  </cols>
  <sheetData>
    <row r="1" spans="1:18" ht="92.25" customHeight="1" x14ac:dyDescent="0.25">
      <c r="A1" s="1" t="s">
        <v>59</v>
      </c>
      <c r="C1" s="1"/>
      <c r="J1" s="1"/>
      <c r="R1" s="2"/>
    </row>
    <row r="2" spans="1:18" ht="4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4" t="s">
        <v>15</v>
      </c>
      <c r="P2" s="6" t="s">
        <v>16</v>
      </c>
      <c r="Q2" s="6" t="s">
        <v>17</v>
      </c>
      <c r="R2" s="7" t="s">
        <v>18</v>
      </c>
    </row>
    <row r="3" spans="1:18" ht="15" customHeight="1" x14ac:dyDescent="0.25">
      <c r="A3" s="9" t="s">
        <v>60</v>
      </c>
      <c r="B3" s="17">
        <v>1385</v>
      </c>
      <c r="C3" s="17">
        <v>1479</v>
      </c>
      <c r="D3" s="17">
        <v>1761</v>
      </c>
      <c r="E3" s="17">
        <v>1618</v>
      </c>
      <c r="F3" s="18">
        <v>392</v>
      </c>
      <c r="G3" s="18">
        <v>346</v>
      </c>
      <c r="H3" s="18">
        <v>405</v>
      </c>
      <c r="I3" s="18">
        <v>521</v>
      </c>
      <c r="J3" s="17">
        <v>1664</v>
      </c>
      <c r="K3" s="19">
        <v>399</v>
      </c>
      <c r="L3" s="19">
        <v>255</v>
      </c>
      <c r="M3" s="19"/>
      <c r="N3" s="19"/>
      <c r="O3" s="17">
        <v>654</v>
      </c>
      <c r="P3" s="21">
        <v>-0.26300578034682076</v>
      </c>
      <c r="Q3" s="21">
        <v>-0.11382113821138207</v>
      </c>
      <c r="R3" s="22">
        <v>3.7376127284572918E-3</v>
      </c>
    </row>
    <row r="4" spans="1:18" ht="15" customHeight="1" x14ac:dyDescent="0.25">
      <c r="A4" s="9" t="s">
        <v>43</v>
      </c>
      <c r="B4" s="17">
        <v>1922</v>
      </c>
      <c r="C4" s="17">
        <v>2108</v>
      </c>
      <c r="D4" s="17">
        <v>2098</v>
      </c>
      <c r="E4" s="17">
        <v>1984</v>
      </c>
      <c r="F4" s="18">
        <v>471</v>
      </c>
      <c r="G4" s="18">
        <v>513</v>
      </c>
      <c r="H4" s="18">
        <v>509</v>
      </c>
      <c r="I4" s="18">
        <v>485</v>
      </c>
      <c r="J4" s="17">
        <v>1978</v>
      </c>
      <c r="K4" s="19">
        <v>424</v>
      </c>
      <c r="L4" s="19">
        <v>418</v>
      </c>
      <c r="M4" s="19"/>
      <c r="N4" s="19"/>
      <c r="O4" s="17">
        <v>842</v>
      </c>
      <c r="P4" s="21">
        <v>-0.18518518518518523</v>
      </c>
      <c r="Q4" s="21">
        <v>-0.14430894308943087</v>
      </c>
      <c r="R4" s="22">
        <v>4.8120335127844645E-3</v>
      </c>
    </row>
    <row r="5" spans="1:18" ht="15" customHeight="1" x14ac:dyDescent="0.25">
      <c r="A5" s="9" t="s">
        <v>21</v>
      </c>
      <c r="B5" s="17">
        <v>16340</v>
      </c>
      <c r="C5" s="17">
        <v>16534</v>
      </c>
      <c r="D5" s="17">
        <v>19177</v>
      </c>
      <c r="E5" s="17">
        <v>19258</v>
      </c>
      <c r="F5" s="18">
        <v>4237</v>
      </c>
      <c r="G5" s="18">
        <v>4384</v>
      </c>
      <c r="H5" s="18">
        <v>4413</v>
      </c>
      <c r="I5" s="18">
        <v>5078</v>
      </c>
      <c r="J5" s="17">
        <v>18112</v>
      </c>
      <c r="K5" s="19">
        <v>3447</v>
      </c>
      <c r="L5" s="19">
        <v>3988</v>
      </c>
      <c r="M5" s="19"/>
      <c r="N5" s="19"/>
      <c r="O5" s="17">
        <v>7435</v>
      </c>
      <c r="P5" s="21">
        <v>-9.0328467153284686E-2</v>
      </c>
      <c r="Q5" s="21">
        <v>-0.13757104744229209</v>
      </c>
      <c r="R5" s="22">
        <v>4.2491056018470891E-2</v>
      </c>
    </row>
    <row r="6" spans="1:18" ht="15" customHeight="1" x14ac:dyDescent="0.25">
      <c r="A6" s="9" t="s">
        <v>47</v>
      </c>
      <c r="B6" s="17">
        <v>10001</v>
      </c>
      <c r="C6" s="17">
        <v>9636</v>
      </c>
      <c r="D6" s="17">
        <v>12881</v>
      </c>
      <c r="E6" s="17">
        <v>12346</v>
      </c>
      <c r="F6" s="18">
        <v>3062</v>
      </c>
      <c r="G6" s="18">
        <v>2507</v>
      </c>
      <c r="H6" s="18">
        <v>2654</v>
      </c>
      <c r="I6" s="18">
        <v>3281</v>
      </c>
      <c r="J6" s="17">
        <v>11504</v>
      </c>
      <c r="K6" s="19">
        <v>2492</v>
      </c>
      <c r="L6" s="19">
        <v>2291</v>
      </c>
      <c r="M6" s="19"/>
      <c r="N6" s="19"/>
      <c r="O6" s="17">
        <v>4783</v>
      </c>
      <c r="P6" s="21">
        <v>-8.6158755484643024E-2</v>
      </c>
      <c r="Q6" s="21">
        <v>-0.14113844496318906</v>
      </c>
      <c r="R6" s="22">
        <v>2.7334864954451418E-2</v>
      </c>
    </row>
    <row r="7" spans="1:18" ht="15" customHeight="1" x14ac:dyDescent="0.25">
      <c r="A7" s="9" t="s">
        <v>48</v>
      </c>
      <c r="B7" s="17">
        <v>14349</v>
      </c>
      <c r="C7" s="17">
        <v>14578</v>
      </c>
      <c r="D7" s="17">
        <v>14573</v>
      </c>
      <c r="E7" s="17">
        <v>13385</v>
      </c>
      <c r="F7" s="18">
        <v>2405</v>
      </c>
      <c r="G7" s="18">
        <v>2155</v>
      </c>
      <c r="H7" s="18">
        <v>2975</v>
      </c>
      <c r="I7" s="18">
        <v>3577</v>
      </c>
      <c r="J7" s="17">
        <v>11112</v>
      </c>
      <c r="K7" s="19">
        <v>2927</v>
      </c>
      <c r="L7" s="19">
        <v>2434</v>
      </c>
      <c r="M7" s="19"/>
      <c r="N7" s="19"/>
      <c r="O7" s="17">
        <v>5361</v>
      </c>
      <c r="P7" s="21">
        <v>0.12946635730858458</v>
      </c>
      <c r="Q7" s="21">
        <v>0.17565789473684212</v>
      </c>
      <c r="R7" s="22">
        <v>3.0638137365840278E-2</v>
      </c>
    </row>
    <row r="8" spans="1:18" ht="15" customHeight="1" x14ac:dyDescent="0.25">
      <c r="A8" s="9" t="s">
        <v>49</v>
      </c>
      <c r="B8" s="17">
        <v>3488</v>
      </c>
      <c r="C8" s="17">
        <v>3566</v>
      </c>
      <c r="D8" s="17">
        <v>3267</v>
      </c>
      <c r="E8" s="17">
        <v>3512</v>
      </c>
      <c r="F8" s="18">
        <v>731</v>
      </c>
      <c r="G8" s="18">
        <v>727</v>
      </c>
      <c r="H8" s="18">
        <v>664</v>
      </c>
      <c r="I8" s="18">
        <v>917</v>
      </c>
      <c r="J8" s="17">
        <v>3039</v>
      </c>
      <c r="K8" s="19">
        <v>645</v>
      </c>
      <c r="L8" s="19">
        <v>759</v>
      </c>
      <c r="M8" s="19"/>
      <c r="N8" s="19"/>
      <c r="O8" s="17">
        <v>1404</v>
      </c>
      <c r="P8" s="21">
        <v>4.4016506189821225E-2</v>
      </c>
      <c r="Q8" s="21">
        <v>-3.703703703703709E-2</v>
      </c>
      <c r="R8" s="22">
        <v>8.0238658574220759E-3</v>
      </c>
    </row>
    <row r="9" spans="1:18" ht="15" customHeight="1" x14ac:dyDescent="0.25">
      <c r="A9" s="9" t="s">
        <v>23</v>
      </c>
      <c r="B9" s="17">
        <v>5917</v>
      </c>
      <c r="C9" s="17">
        <v>7466</v>
      </c>
      <c r="D9" s="17">
        <v>10006</v>
      </c>
      <c r="E9" s="17">
        <v>11145</v>
      </c>
      <c r="F9" s="18">
        <v>2721</v>
      </c>
      <c r="G9" s="18">
        <v>2611</v>
      </c>
      <c r="H9" s="18">
        <v>2881</v>
      </c>
      <c r="I9" s="18">
        <v>2616</v>
      </c>
      <c r="J9" s="17">
        <v>10829</v>
      </c>
      <c r="K9" s="19">
        <v>2724</v>
      </c>
      <c r="L9" s="19">
        <v>2506</v>
      </c>
      <c r="M9" s="19"/>
      <c r="N9" s="19"/>
      <c r="O9" s="17">
        <v>5230</v>
      </c>
      <c r="P9" s="21">
        <v>-4.0214477211796273E-2</v>
      </c>
      <c r="Q9" s="21">
        <v>-1.9129782445611365E-2</v>
      </c>
      <c r="R9" s="22">
        <v>2.988947181931443E-2</v>
      </c>
    </row>
    <row r="10" spans="1:18" ht="15" customHeight="1" x14ac:dyDescent="0.25">
      <c r="A10" s="9" t="s">
        <v>50</v>
      </c>
      <c r="B10" s="17">
        <v>6125</v>
      </c>
      <c r="C10" s="17">
        <v>6078</v>
      </c>
      <c r="D10" s="17">
        <v>5993</v>
      </c>
      <c r="E10" s="17">
        <v>7763</v>
      </c>
      <c r="F10" s="18">
        <v>1598</v>
      </c>
      <c r="G10" s="18">
        <v>1447</v>
      </c>
      <c r="H10" s="18">
        <v>1641</v>
      </c>
      <c r="I10" s="18">
        <v>2288</v>
      </c>
      <c r="J10" s="17">
        <v>6974</v>
      </c>
      <c r="K10" s="19">
        <v>1398</v>
      </c>
      <c r="L10" s="19">
        <v>1500</v>
      </c>
      <c r="M10" s="19"/>
      <c r="N10" s="19"/>
      <c r="O10" s="17">
        <v>2898</v>
      </c>
      <c r="P10" s="21">
        <v>3.662750518313751E-2</v>
      </c>
      <c r="Q10" s="21">
        <v>-4.8275862068965503E-2</v>
      </c>
      <c r="R10" s="22">
        <v>1.6562082090319927E-2</v>
      </c>
    </row>
    <row r="11" spans="1:18" ht="15" customHeight="1" x14ac:dyDescent="0.25">
      <c r="A11" s="9" t="s">
        <v>24</v>
      </c>
      <c r="B11" s="17">
        <v>34764</v>
      </c>
      <c r="C11" s="17">
        <v>34837</v>
      </c>
      <c r="D11" s="17">
        <v>35543</v>
      </c>
      <c r="E11" s="17">
        <v>34031</v>
      </c>
      <c r="F11" s="18">
        <v>7251</v>
      </c>
      <c r="G11" s="18">
        <v>6774</v>
      </c>
      <c r="H11" s="18">
        <v>7925</v>
      </c>
      <c r="I11" s="18">
        <v>7412</v>
      </c>
      <c r="J11" s="17">
        <v>29362</v>
      </c>
      <c r="K11" s="19">
        <v>7327</v>
      </c>
      <c r="L11" s="19">
        <v>7328</v>
      </c>
      <c r="M11" s="19"/>
      <c r="N11" s="19"/>
      <c r="O11" s="17">
        <v>14655</v>
      </c>
      <c r="P11" s="21">
        <v>8.178328904635368E-2</v>
      </c>
      <c r="Q11" s="21">
        <v>4.4919786096256686E-2</v>
      </c>
      <c r="R11" s="22">
        <v>8.375338613997188E-2</v>
      </c>
    </row>
    <row r="12" spans="1:18" ht="15" customHeight="1" x14ac:dyDescent="0.25">
      <c r="A12" s="9" t="s">
        <v>25</v>
      </c>
      <c r="B12" s="17">
        <v>51303</v>
      </c>
      <c r="C12" s="17">
        <v>51489</v>
      </c>
      <c r="D12" s="17">
        <v>54678</v>
      </c>
      <c r="E12" s="17">
        <v>56264</v>
      </c>
      <c r="F12" s="18">
        <v>11015</v>
      </c>
      <c r="G12" s="18">
        <v>10831</v>
      </c>
      <c r="H12" s="18">
        <v>13358</v>
      </c>
      <c r="I12" s="18">
        <v>14924</v>
      </c>
      <c r="J12" s="17">
        <v>50128</v>
      </c>
      <c r="K12" s="19">
        <v>12146</v>
      </c>
      <c r="L12" s="19">
        <v>13231</v>
      </c>
      <c r="M12" s="19"/>
      <c r="N12" s="19"/>
      <c r="O12" s="17">
        <v>25377</v>
      </c>
      <c r="P12" s="21">
        <v>0.22158618779429418</v>
      </c>
      <c r="Q12" s="21">
        <v>0.16163141993957697</v>
      </c>
      <c r="R12" s="22">
        <v>0.14502966087165245</v>
      </c>
    </row>
    <row r="13" spans="1:18" ht="15" customHeight="1" x14ac:dyDescent="0.25">
      <c r="A13" s="9" t="s">
        <v>51</v>
      </c>
      <c r="B13" s="17">
        <v>43519</v>
      </c>
      <c r="C13" s="17">
        <v>45187</v>
      </c>
      <c r="D13" s="17">
        <v>49956</v>
      </c>
      <c r="E13" s="17">
        <v>51941</v>
      </c>
      <c r="F13" s="18">
        <v>11086</v>
      </c>
      <c r="G13" s="18">
        <v>10707</v>
      </c>
      <c r="H13" s="18">
        <v>11930</v>
      </c>
      <c r="I13" s="18">
        <v>11815</v>
      </c>
      <c r="J13" s="17">
        <v>45538</v>
      </c>
      <c r="K13" s="19">
        <v>11170</v>
      </c>
      <c r="L13" s="19">
        <v>11105</v>
      </c>
      <c r="M13" s="19"/>
      <c r="N13" s="19"/>
      <c r="O13" s="17">
        <v>22275</v>
      </c>
      <c r="P13" s="21">
        <v>3.7171943588306666E-2</v>
      </c>
      <c r="Q13" s="21">
        <v>2.2117193594273443E-2</v>
      </c>
      <c r="R13" s="22">
        <v>0.12730171793025408</v>
      </c>
    </row>
    <row r="14" spans="1:18" ht="15" customHeight="1" x14ac:dyDescent="0.25">
      <c r="A14" s="9" t="s">
        <v>28</v>
      </c>
      <c r="B14" s="17">
        <v>5501</v>
      </c>
      <c r="C14" s="17">
        <v>5324</v>
      </c>
      <c r="D14" s="17">
        <v>5905</v>
      </c>
      <c r="E14" s="17">
        <v>5549</v>
      </c>
      <c r="F14" s="18">
        <v>684</v>
      </c>
      <c r="G14" s="18">
        <v>1099</v>
      </c>
      <c r="H14" s="18">
        <v>1399</v>
      </c>
      <c r="I14" s="18">
        <v>1300</v>
      </c>
      <c r="J14" s="17">
        <v>4482</v>
      </c>
      <c r="K14" s="19">
        <v>1140</v>
      </c>
      <c r="L14" s="19">
        <v>1119</v>
      </c>
      <c r="M14" s="19"/>
      <c r="N14" s="19"/>
      <c r="O14" s="17">
        <v>2259</v>
      </c>
      <c r="P14" s="21">
        <v>1.8198362147406666E-2</v>
      </c>
      <c r="Q14" s="21">
        <v>0.2669657879977565</v>
      </c>
      <c r="R14" s="22">
        <v>1.2910194424441929E-2</v>
      </c>
    </row>
    <row r="15" spans="1:18" ht="15" customHeight="1" x14ac:dyDescent="0.25">
      <c r="A15" s="9" t="s">
        <v>61</v>
      </c>
      <c r="B15" s="17">
        <v>2735</v>
      </c>
      <c r="C15" s="17">
        <v>2690</v>
      </c>
      <c r="D15" s="17">
        <v>2660</v>
      </c>
      <c r="E15" s="17">
        <v>2823</v>
      </c>
      <c r="F15" s="18">
        <v>824</v>
      </c>
      <c r="G15" s="18">
        <v>779</v>
      </c>
      <c r="H15" s="18">
        <v>1050</v>
      </c>
      <c r="I15" s="18">
        <v>1207</v>
      </c>
      <c r="J15" s="17">
        <v>3860</v>
      </c>
      <c r="K15" s="19">
        <v>1239</v>
      </c>
      <c r="L15" s="19">
        <v>1328</v>
      </c>
      <c r="M15" s="19"/>
      <c r="N15" s="19"/>
      <c r="O15" s="17">
        <v>2567</v>
      </c>
      <c r="P15" s="21">
        <v>0.70474967907573816</v>
      </c>
      <c r="Q15" s="21">
        <v>0.60137242669993762</v>
      </c>
      <c r="R15" s="22">
        <v>1.4670415709403467E-2</v>
      </c>
    </row>
    <row r="16" spans="1:18" ht="15" customHeight="1" x14ac:dyDescent="0.25">
      <c r="A16" s="9" t="s">
        <v>52</v>
      </c>
      <c r="B16" s="17">
        <v>7598</v>
      </c>
      <c r="C16" s="17">
        <v>7371</v>
      </c>
      <c r="D16" s="17">
        <v>6808</v>
      </c>
      <c r="E16" s="17">
        <v>6880</v>
      </c>
      <c r="F16" s="18">
        <v>1493</v>
      </c>
      <c r="G16" s="18">
        <v>1334</v>
      </c>
      <c r="H16" s="18">
        <v>1564</v>
      </c>
      <c r="I16" s="18">
        <v>1400</v>
      </c>
      <c r="J16" s="17">
        <v>5791</v>
      </c>
      <c r="K16" s="19">
        <v>1232</v>
      </c>
      <c r="L16" s="19">
        <v>1116</v>
      </c>
      <c r="M16" s="19"/>
      <c r="N16" s="19"/>
      <c r="O16" s="17">
        <v>2348</v>
      </c>
      <c r="P16" s="21">
        <v>-0.16341829085457271</v>
      </c>
      <c r="Q16" s="21">
        <v>-0.16943756632472584</v>
      </c>
      <c r="R16" s="22">
        <v>1.3418829795745751E-2</v>
      </c>
    </row>
    <row r="17" spans="1:18" ht="15" customHeight="1" x14ac:dyDescent="0.25">
      <c r="A17" s="9" t="s">
        <v>62</v>
      </c>
      <c r="B17" s="17">
        <v>6761</v>
      </c>
      <c r="C17" s="17">
        <v>6898</v>
      </c>
      <c r="D17" s="17">
        <v>6931</v>
      </c>
      <c r="E17" s="17">
        <v>6675</v>
      </c>
      <c r="F17" s="18">
        <v>1370</v>
      </c>
      <c r="G17" s="18">
        <v>1426</v>
      </c>
      <c r="H17" s="18">
        <v>1635</v>
      </c>
      <c r="I17" s="18">
        <v>1828</v>
      </c>
      <c r="J17" s="17">
        <v>6259</v>
      </c>
      <c r="K17" s="19">
        <v>1267</v>
      </c>
      <c r="L17" s="19">
        <v>1182</v>
      </c>
      <c r="M17" s="19"/>
      <c r="N17" s="19"/>
      <c r="O17" s="17">
        <v>2449</v>
      </c>
      <c r="P17" s="21">
        <v>-0.17110799438990187</v>
      </c>
      <c r="Q17" s="21">
        <v>-0.12410586552217451</v>
      </c>
      <c r="R17" s="22">
        <v>1.3996045217113008E-2</v>
      </c>
    </row>
    <row r="18" spans="1:18" ht="15" customHeight="1" x14ac:dyDescent="0.25">
      <c r="A18" s="9" t="s">
        <v>53</v>
      </c>
      <c r="B18" s="17">
        <v>10507</v>
      </c>
      <c r="C18" s="17">
        <v>11319</v>
      </c>
      <c r="D18" s="17">
        <v>10920</v>
      </c>
      <c r="E18" s="17">
        <v>10936</v>
      </c>
      <c r="F18" s="18">
        <v>2487</v>
      </c>
      <c r="G18" s="18">
        <v>2340</v>
      </c>
      <c r="H18" s="18">
        <v>2881</v>
      </c>
      <c r="I18" s="18">
        <v>3145</v>
      </c>
      <c r="J18" s="17">
        <v>10853</v>
      </c>
      <c r="K18" s="19">
        <v>2557</v>
      </c>
      <c r="L18" s="19">
        <v>2611</v>
      </c>
      <c r="M18" s="19"/>
      <c r="N18" s="19"/>
      <c r="O18" s="17">
        <v>5168</v>
      </c>
      <c r="P18" s="21">
        <v>0.11581196581196584</v>
      </c>
      <c r="Q18" s="21">
        <v>7.0644292521234719E-2</v>
      </c>
      <c r="R18" s="22">
        <v>2.9535141560653341E-2</v>
      </c>
    </row>
    <row r="19" spans="1:18" ht="15" customHeight="1" x14ac:dyDescent="0.25">
      <c r="A19" s="9" t="s">
        <v>63</v>
      </c>
      <c r="B19" s="17">
        <v>3001</v>
      </c>
      <c r="C19" s="17">
        <v>2906</v>
      </c>
      <c r="D19" s="17">
        <v>3122</v>
      </c>
      <c r="E19" s="17">
        <v>3011</v>
      </c>
      <c r="F19" s="18">
        <v>358</v>
      </c>
      <c r="G19" s="18">
        <v>448</v>
      </c>
      <c r="H19" s="18">
        <v>466</v>
      </c>
      <c r="I19" s="18">
        <v>708</v>
      </c>
      <c r="J19" s="17">
        <v>1980</v>
      </c>
      <c r="K19" s="19">
        <v>410</v>
      </c>
      <c r="L19" s="19">
        <v>500</v>
      </c>
      <c r="M19" s="19"/>
      <c r="N19" s="19"/>
      <c r="O19" s="17">
        <v>910</v>
      </c>
      <c r="P19" s="21">
        <v>0.1160714285714286</v>
      </c>
      <c r="Q19" s="21">
        <v>0.12903225806451624</v>
      </c>
      <c r="R19" s="22">
        <v>5.2006537964772717E-3</v>
      </c>
    </row>
    <row r="20" spans="1:18" ht="15" customHeight="1" x14ac:dyDescent="0.25">
      <c r="A20" s="9" t="s">
        <v>29</v>
      </c>
      <c r="B20" s="17">
        <v>18427</v>
      </c>
      <c r="C20" s="17">
        <v>17275</v>
      </c>
      <c r="D20" s="17">
        <v>18034</v>
      </c>
      <c r="E20" s="17">
        <v>18816</v>
      </c>
      <c r="F20" s="18">
        <v>3516</v>
      </c>
      <c r="G20" s="18">
        <v>4081</v>
      </c>
      <c r="H20" s="18">
        <v>4485</v>
      </c>
      <c r="I20" s="18">
        <v>4565</v>
      </c>
      <c r="J20" s="17">
        <v>16647</v>
      </c>
      <c r="K20" s="19">
        <v>3523</v>
      </c>
      <c r="L20" s="19">
        <v>3804</v>
      </c>
      <c r="M20" s="19"/>
      <c r="N20" s="19"/>
      <c r="O20" s="17">
        <v>7327</v>
      </c>
      <c r="P20" s="21">
        <v>-6.7875520705709347E-2</v>
      </c>
      <c r="Q20" s="21">
        <v>-3.5540344872976193E-2</v>
      </c>
      <c r="R20" s="22">
        <v>4.1873835567899961E-2</v>
      </c>
    </row>
    <row r="21" spans="1:18" ht="15" customHeight="1" x14ac:dyDescent="0.25">
      <c r="A21" s="9" t="s">
        <v>30</v>
      </c>
      <c r="B21" s="17">
        <v>585</v>
      </c>
      <c r="C21" s="17">
        <v>585</v>
      </c>
      <c r="D21" s="17">
        <v>584</v>
      </c>
      <c r="E21" s="17">
        <v>599</v>
      </c>
      <c r="F21" s="18">
        <v>139</v>
      </c>
      <c r="G21" s="18">
        <v>148</v>
      </c>
      <c r="H21" s="18">
        <v>137</v>
      </c>
      <c r="I21" s="18">
        <v>133</v>
      </c>
      <c r="J21" s="17">
        <v>557</v>
      </c>
      <c r="K21" s="19">
        <v>122</v>
      </c>
      <c r="L21" s="19">
        <v>136</v>
      </c>
      <c r="M21" s="19"/>
      <c r="N21" s="19"/>
      <c r="O21" s="17">
        <v>258</v>
      </c>
      <c r="P21" s="21">
        <v>-8.108108108108103E-2</v>
      </c>
      <c r="Q21" s="21">
        <v>-0.10104529616724733</v>
      </c>
      <c r="R21" s="22">
        <v>1.4744710763638857E-3</v>
      </c>
    </row>
    <row r="22" spans="1:18" ht="15" customHeight="1" x14ac:dyDescent="0.25">
      <c r="A22" s="9" t="s">
        <v>31</v>
      </c>
      <c r="B22" s="17">
        <v>419</v>
      </c>
      <c r="C22" s="17">
        <v>567</v>
      </c>
      <c r="D22" s="17">
        <v>595</v>
      </c>
      <c r="E22" s="17">
        <v>501</v>
      </c>
      <c r="F22" s="18">
        <v>101</v>
      </c>
      <c r="G22" s="18">
        <v>155</v>
      </c>
      <c r="H22" s="18">
        <v>48</v>
      </c>
      <c r="I22" s="18">
        <v>60</v>
      </c>
      <c r="J22" s="17">
        <v>364</v>
      </c>
      <c r="K22" s="19">
        <v>76</v>
      </c>
      <c r="L22" s="19">
        <v>113</v>
      </c>
      <c r="M22" s="19"/>
      <c r="N22" s="19"/>
      <c r="O22" s="17">
        <v>189</v>
      </c>
      <c r="P22" s="21">
        <v>-0.2709677419354839</v>
      </c>
      <c r="Q22" s="21">
        <v>-0.26171875</v>
      </c>
      <c r="R22" s="22">
        <v>1.0801357884991257E-3</v>
      </c>
    </row>
    <row r="23" spans="1:18" ht="15" customHeight="1" x14ac:dyDescent="0.25">
      <c r="A23" s="9" t="s">
        <v>54</v>
      </c>
      <c r="B23" s="17">
        <v>101310</v>
      </c>
      <c r="C23" s="17">
        <v>100650</v>
      </c>
      <c r="D23" s="17">
        <v>97327</v>
      </c>
      <c r="E23" s="17">
        <v>98543</v>
      </c>
      <c r="F23" s="18">
        <v>24067</v>
      </c>
      <c r="G23" s="18">
        <v>21858</v>
      </c>
      <c r="H23" s="18">
        <v>24091</v>
      </c>
      <c r="I23" s="18">
        <v>24275</v>
      </c>
      <c r="J23" s="17">
        <v>94291</v>
      </c>
      <c r="K23" s="19">
        <v>19050</v>
      </c>
      <c r="L23" s="19">
        <v>21411</v>
      </c>
      <c r="M23" s="19"/>
      <c r="N23" s="19"/>
      <c r="O23" s="17">
        <v>40461</v>
      </c>
      <c r="P23" s="21">
        <v>-2.0450178424375465E-2</v>
      </c>
      <c r="Q23" s="21">
        <v>-0.11897659227000545</v>
      </c>
      <c r="R23" s="22">
        <v>0.23123478380139217</v>
      </c>
    </row>
    <row r="24" spans="1:18" ht="15" customHeight="1" x14ac:dyDescent="0.25">
      <c r="A24" s="9" t="s">
        <v>55</v>
      </c>
      <c r="B24" s="17">
        <v>1576</v>
      </c>
      <c r="C24" s="17">
        <v>1132</v>
      </c>
      <c r="D24" s="17">
        <v>952</v>
      </c>
      <c r="E24" s="17">
        <v>717</v>
      </c>
      <c r="F24" s="18">
        <v>204</v>
      </c>
      <c r="G24" s="18">
        <v>174</v>
      </c>
      <c r="H24" s="18">
        <v>167</v>
      </c>
      <c r="I24" s="18">
        <v>151</v>
      </c>
      <c r="J24" s="17">
        <v>696</v>
      </c>
      <c r="K24" s="19">
        <v>190</v>
      </c>
      <c r="L24" s="19">
        <v>200</v>
      </c>
      <c r="M24" s="19"/>
      <c r="N24" s="19"/>
      <c r="O24" s="17">
        <v>390</v>
      </c>
      <c r="P24" s="21">
        <v>0.14942528735632177</v>
      </c>
      <c r="Q24" s="21">
        <v>3.1746031746031855E-2</v>
      </c>
      <c r="R24" s="22">
        <v>2.2288516270616877E-3</v>
      </c>
    </row>
    <row r="25" spans="1:18" ht="15" customHeight="1" x14ac:dyDescent="0.25">
      <c r="A25" s="9" t="s">
        <v>33</v>
      </c>
      <c r="B25" s="17">
        <v>38141</v>
      </c>
      <c r="C25" s="17">
        <v>37583</v>
      </c>
      <c r="D25" s="17">
        <v>36685</v>
      </c>
      <c r="E25" s="17">
        <v>36454</v>
      </c>
      <c r="F25" s="18">
        <v>6315</v>
      </c>
      <c r="G25" s="18">
        <v>7597</v>
      </c>
      <c r="H25" s="18">
        <v>7205</v>
      </c>
      <c r="I25" s="18">
        <v>7934</v>
      </c>
      <c r="J25" s="17">
        <v>29051</v>
      </c>
      <c r="K25" s="19">
        <v>7614</v>
      </c>
      <c r="L25" s="19">
        <v>7978</v>
      </c>
      <c r="M25" s="19"/>
      <c r="N25" s="19"/>
      <c r="O25" s="17">
        <v>15592</v>
      </c>
      <c r="P25" s="21">
        <v>5.0151375542977439E-2</v>
      </c>
      <c r="Q25" s="21">
        <v>0.1207590569292698</v>
      </c>
      <c r="R25" s="22">
        <v>8.9108345049091889E-2</v>
      </c>
    </row>
    <row r="26" spans="1:18" ht="15" customHeight="1" x14ac:dyDescent="0.25">
      <c r="A26" s="9" t="s">
        <v>64</v>
      </c>
      <c r="B26" s="17">
        <v>4513</v>
      </c>
      <c r="C26" s="17">
        <v>4422</v>
      </c>
      <c r="D26" s="17">
        <v>1154</v>
      </c>
      <c r="E26" s="17">
        <v>639</v>
      </c>
      <c r="F26" s="18">
        <v>590</v>
      </c>
      <c r="G26" s="18">
        <v>403</v>
      </c>
      <c r="H26" s="18">
        <v>442</v>
      </c>
      <c r="I26" s="18">
        <v>669</v>
      </c>
      <c r="J26" s="17">
        <v>2104</v>
      </c>
      <c r="K26" s="19">
        <v>651</v>
      </c>
      <c r="L26" s="19">
        <v>504</v>
      </c>
      <c r="M26" s="19"/>
      <c r="N26" s="19"/>
      <c r="O26" s="17">
        <v>1155</v>
      </c>
      <c r="P26" s="21">
        <v>0.25062034739454098</v>
      </c>
      <c r="Q26" s="21">
        <v>0.1631419939577039</v>
      </c>
      <c r="R26" s="22">
        <v>6.6008298186057673E-3</v>
      </c>
    </row>
    <row r="27" spans="1:18" ht="15" customHeight="1" x14ac:dyDescent="0.25">
      <c r="A27" s="9" t="s">
        <v>56</v>
      </c>
      <c r="B27" s="17">
        <v>1139</v>
      </c>
      <c r="C27" s="17">
        <v>962</v>
      </c>
      <c r="D27" s="17">
        <v>958</v>
      </c>
      <c r="E27" s="17">
        <v>947</v>
      </c>
      <c r="F27" s="18">
        <v>220</v>
      </c>
      <c r="G27" s="18">
        <v>212</v>
      </c>
      <c r="H27" s="18">
        <v>181</v>
      </c>
      <c r="I27" s="18">
        <v>241</v>
      </c>
      <c r="J27" s="17">
        <v>854</v>
      </c>
      <c r="K27" s="19">
        <v>210</v>
      </c>
      <c r="L27" s="19">
        <v>224</v>
      </c>
      <c r="M27" s="19"/>
      <c r="N27" s="19"/>
      <c r="O27" s="17">
        <v>434</v>
      </c>
      <c r="P27" s="21">
        <v>5.6603773584905648E-2</v>
      </c>
      <c r="Q27" s="21">
        <v>4.6296296296295392E-3</v>
      </c>
      <c r="R27" s="22">
        <v>2.4803118106276217E-3</v>
      </c>
    </row>
    <row r="28" spans="1:18" ht="15" customHeight="1" x14ac:dyDescent="0.25">
      <c r="A28" s="9" t="s">
        <v>34</v>
      </c>
      <c r="B28" s="17">
        <v>8636</v>
      </c>
      <c r="C28" s="17">
        <v>7574</v>
      </c>
      <c r="D28" s="17">
        <v>7235</v>
      </c>
      <c r="E28" s="17">
        <v>7922</v>
      </c>
      <c r="F28" s="18">
        <v>1765</v>
      </c>
      <c r="G28" s="18">
        <v>1799</v>
      </c>
      <c r="H28" s="18">
        <v>1867</v>
      </c>
      <c r="I28" s="18">
        <v>2137</v>
      </c>
      <c r="J28" s="17">
        <v>7568</v>
      </c>
      <c r="K28" s="19">
        <v>1217</v>
      </c>
      <c r="L28" s="19">
        <v>1340</v>
      </c>
      <c r="M28" s="19"/>
      <c r="N28" s="19"/>
      <c r="O28" s="17">
        <v>2557</v>
      </c>
      <c r="P28" s="21">
        <v>-0.25514174541411894</v>
      </c>
      <c r="Q28" s="21">
        <v>-0.28254769921436584</v>
      </c>
      <c r="R28" s="22">
        <v>1.4613265667683938E-2</v>
      </c>
    </row>
    <row r="29" spans="1:18" ht="15" customHeight="1" x14ac:dyDescent="0.25">
      <c r="A29" t="s">
        <v>35</v>
      </c>
      <c r="B29" s="10">
        <f>SUBTOTAL(109,Tabell_Storb[2021])</f>
        <v>399962</v>
      </c>
      <c r="C29" s="10">
        <f>SUBTOTAL(109,Tabell_Storb[2022])</f>
        <v>400216</v>
      </c>
      <c r="D29" s="10">
        <f>SUBTOTAL(109,Tabell_Storb[2023])</f>
        <v>409803</v>
      </c>
      <c r="E29" s="10">
        <f>SUBTOTAL(109,Tabell_Storb[2024])</f>
        <v>414259</v>
      </c>
      <c r="F29" s="10">
        <f>SUBTOTAL(109,Tabell_Storb[Kvartal 1 2025])</f>
        <v>89102</v>
      </c>
      <c r="G29" s="10">
        <f>SUBTOTAL(109,Tabell_Storb[Kvartal 2 2025])</f>
        <v>86855</v>
      </c>
      <c r="H29" s="10">
        <f>SUBTOTAL(109,Tabell_Storb[Kvartal 3 2025])</f>
        <v>96973</v>
      </c>
      <c r="I29" s="10">
        <f>SUBTOTAL(109,Tabell_Storb[Kvartal 4 2025])</f>
        <v>102667</v>
      </c>
      <c r="J29" s="10">
        <f>SUBTOTAL(109,Tabell_Storb[2025])</f>
        <v>375597</v>
      </c>
      <c r="K29" s="10">
        <f>SUBTOTAL(109,Tabell_Storb[Kvartal 1 2026])</f>
        <v>85597</v>
      </c>
      <c r="L29" s="10">
        <f>SUBTOTAL(109,Tabell_Storb[Kvartal 2 2026])</f>
        <v>89381</v>
      </c>
      <c r="M29" s="10">
        <f>SUBTOTAL(109,Tabell_Storb[Kvartal 3 2026])</f>
        <v>0</v>
      </c>
      <c r="N29" s="10">
        <f>SUBTOTAL(109,Tabell_Storb[Kvartal 4 2026])</f>
        <v>0</v>
      </c>
      <c r="O29" s="10">
        <f>SUBTOTAL(109,Tabell_Storb[2026])</f>
        <v>174978</v>
      </c>
      <c r="P29" s="16">
        <f>L29/G29-1</f>
        <v>2.9082954349202605E-2</v>
      </c>
      <c r="Q29" s="16">
        <f>O29/SUM(F29:G29)-1</f>
        <v>-5.5638593520007662E-3</v>
      </c>
      <c r="R29" s="14">
        <f>SUBTOTAL(109,Tabell_Storb[Procentuell andel 2026*])</f>
        <v>0.99999999999999989</v>
      </c>
    </row>
    <row r="30" spans="1:18" ht="15" customHeight="1" x14ac:dyDescent="0.25">
      <c r="A30" t="s">
        <v>65</v>
      </c>
    </row>
    <row r="31" spans="1:18" ht="15" customHeight="1" x14ac:dyDescent="0.25">
      <c r="A31" t="s">
        <v>37</v>
      </c>
    </row>
    <row r="32" spans="1:18" ht="15" customHeight="1" x14ac:dyDescent="0.25">
      <c r="A32" t="s">
        <v>66</v>
      </c>
    </row>
    <row r="33" spans="1:1" ht="15" customHeight="1" x14ac:dyDescent="0.25">
      <c r="A33" t="s">
        <v>39</v>
      </c>
    </row>
    <row r="34" spans="1:1" ht="15" customHeight="1" x14ac:dyDescent="0.25"/>
    <row r="35" spans="1:1" ht="15" customHeight="1" x14ac:dyDescent="0.25"/>
    <row r="36" spans="1:1" ht="15" customHeight="1" x14ac:dyDescent="0.25"/>
    <row r="37" spans="1:1" ht="15" customHeight="1" x14ac:dyDescent="0.25"/>
    <row r="38" spans="1:1" ht="15" customHeight="1" x14ac:dyDescent="0.25"/>
    <row r="39" spans="1:1" ht="15" customHeight="1" x14ac:dyDescent="0.25"/>
    <row r="40" spans="1:1" ht="15" customHeight="1" x14ac:dyDescent="0.25"/>
    <row r="41" spans="1:1" ht="15" customHeight="1" x14ac:dyDescent="0.25"/>
    <row r="42" spans="1:1" ht="15" customHeight="1" x14ac:dyDescent="0.25"/>
    <row r="43" spans="1:1" ht="15" customHeight="1" x14ac:dyDescent="0.25"/>
    <row r="44" spans="1:1" ht="15" customHeight="1" x14ac:dyDescent="0.25"/>
    <row r="45" spans="1:1" ht="15" customHeight="1" x14ac:dyDescent="0.25"/>
    <row r="46" spans="1:1" ht="15" customHeight="1" x14ac:dyDescent="0.25"/>
    <row r="47" spans="1:1" ht="15" customHeight="1" x14ac:dyDescent="0.25"/>
    <row r="48" spans="1:1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</sheetData>
  <pageMargins left="0.70866141732283472" right="0.31496062992125984" top="0.55118110236220474" bottom="0.74803149606299213" header="0.31496062992125984" footer="0.31496062992125984"/>
  <pageSetup paperSize="9" scale="78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98B8-8D1E-413E-A8A1-CBF881D14656}">
  <sheetPr codeName="flFår">
    <pageSetUpPr fitToPage="1"/>
  </sheetPr>
  <dimension ref="A1:R92"/>
  <sheetViews>
    <sheetView workbookViewId="0">
      <selection activeCell="A2" sqref="A2"/>
    </sheetView>
  </sheetViews>
  <sheetFormatPr defaultColWidth="9.140625" defaultRowHeight="12" x14ac:dyDescent="0.2"/>
  <cols>
    <col min="1" max="1" width="27" style="24" customWidth="1"/>
    <col min="2" max="15" width="8.28515625" style="24" customWidth="1"/>
    <col min="16" max="16" width="9.28515625" style="24" customWidth="1"/>
    <col min="17" max="17" width="10.140625" style="24" customWidth="1"/>
    <col min="18" max="18" width="10" style="24" customWidth="1"/>
    <col min="19" max="16384" width="9.140625" style="24"/>
  </cols>
  <sheetData>
    <row r="1" spans="1:18" ht="92.25" customHeight="1" x14ac:dyDescent="0.25">
      <c r="A1" s="1" t="s">
        <v>67</v>
      </c>
      <c r="B1"/>
      <c r="C1" s="1"/>
      <c r="E1"/>
      <c r="F1"/>
      <c r="G1"/>
      <c r="H1"/>
      <c r="I1"/>
      <c r="J1" s="1"/>
      <c r="K1"/>
      <c r="L1"/>
      <c r="M1"/>
      <c r="N1"/>
      <c r="O1"/>
      <c r="P1"/>
      <c r="Q1"/>
      <c r="R1" s="2"/>
    </row>
    <row r="2" spans="1:18" ht="4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4" t="s">
        <v>15</v>
      </c>
      <c r="P2" s="6" t="s">
        <v>16</v>
      </c>
      <c r="Q2" s="6" t="s">
        <v>17</v>
      </c>
      <c r="R2" s="7" t="s">
        <v>18</v>
      </c>
    </row>
    <row r="3" spans="1:18" ht="15" customHeight="1" x14ac:dyDescent="0.25">
      <c r="A3" t="s">
        <v>68</v>
      </c>
      <c r="B3" s="10">
        <v>3087</v>
      </c>
      <c r="C3" s="10">
        <v>2875</v>
      </c>
      <c r="D3" s="10">
        <v>1509</v>
      </c>
      <c r="E3" s="10">
        <v>1420</v>
      </c>
      <c r="F3" s="11">
        <v>242</v>
      </c>
      <c r="G3" s="11">
        <v>528</v>
      </c>
      <c r="H3" s="11">
        <v>383</v>
      </c>
      <c r="I3" s="11">
        <v>371</v>
      </c>
      <c r="J3" s="10">
        <v>1524</v>
      </c>
      <c r="K3" s="12">
        <v>409</v>
      </c>
      <c r="L3" s="12">
        <v>584</v>
      </c>
      <c r="M3" s="12"/>
      <c r="N3" s="12"/>
      <c r="O3" s="10">
        <v>993</v>
      </c>
      <c r="P3" s="13">
        <v>0.10606060606060597</v>
      </c>
      <c r="Q3" s="13">
        <v>0.28961038961038965</v>
      </c>
      <c r="R3" s="14">
        <v>1.4065753502273468E-2</v>
      </c>
    </row>
    <row r="4" spans="1:18" ht="15" customHeight="1" x14ac:dyDescent="0.25">
      <c r="A4" t="s">
        <v>41</v>
      </c>
      <c r="B4" s="10">
        <v>1923</v>
      </c>
      <c r="C4" s="10">
        <v>1715</v>
      </c>
      <c r="D4" s="10">
        <v>1854</v>
      </c>
      <c r="E4" s="10">
        <v>1481</v>
      </c>
      <c r="F4" s="11">
        <v>264</v>
      </c>
      <c r="G4" s="11">
        <v>163</v>
      </c>
      <c r="H4" s="11">
        <v>397</v>
      </c>
      <c r="I4" s="11">
        <v>558</v>
      </c>
      <c r="J4" s="10">
        <v>1382</v>
      </c>
      <c r="K4" s="12">
        <v>163</v>
      </c>
      <c r="L4" s="12"/>
      <c r="M4" s="12"/>
      <c r="N4" s="12"/>
      <c r="O4" s="10">
        <v>163</v>
      </c>
      <c r="P4" s="13">
        <v>-1</v>
      </c>
      <c r="Q4" s="13">
        <v>-0.61826697892271665</v>
      </c>
      <c r="R4" s="14">
        <v>2.3088799807357255E-3</v>
      </c>
    </row>
    <row r="5" spans="1:18" ht="15" customHeight="1" x14ac:dyDescent="0.25">
      <c r="A5" t="s">
        <v>20</v>
      </c>
      <c r="B5" s="10">
        <v>921</v>
      </c>
      <c r="C5" s="10">
        <v>758</v>
      </c>
      <c r="D5" s="10">
        <v>754</v>
      </c>
      <c r="E5" s="10">
        <v>645</v>
      </c>
      <c r="F5" s="11">
        <v>15</v>
      </c>
      <c r="G5" s="11">
        <v>120</v>
      </c>
      <c r="H5" s="11">
        <v>219</v>
      </c>
      <c r="I5" s="11">
        <v>304</v>
      </c>
      <c r="J5" s="10">
        <v>658</v>
      </c>
      <c r="K5" s="12">
        <v>72</v>
      </c>
      <c r="L5" s="12">
        <v>58</v>
      </c>
      <c r="M5" s="12"/>
      <c r="N5" s="12"/>
      <c r="O5" s="10">
        <v>130</v>
      </c>
      <c r="P5" s="13">
        <v>-0.51666666666666661</v>
      </c>
      <c r="Q5" s="13">
        <v>-3.703703703703709E-2</v>
      </c>
      <c r="R5" s="14">
        <v>1.8414380214456705E-3</v>
      </c>
    </row>
    <row r="6" spans="1:18" ht="15" customHeight="1" x14ac:dyDescent="0.25">
      <c r="A6" t="s">
        <v>45</v>
      </c>
      <c r="B6" s="10">
        <v>1234</v>
      </c>
      <c r="C6" s="10">
        <v>1885</v>
      </c>
      <c r="D6" s="10">
        <v>2298</v>
      </c>
      <c r="E6" s="10">
        <v>1678</v>
      </c>
      <c r="F6" s="11">
        <v>153</v>
      </c>
      <c r="G6" s="11">
        <v>114</v>
      </c>
      <c r="H6" s="11">
        <v>373</v>
      </c>
      <c r="I6" s="11">
        <v>812</v>
      </c>
      <c r="J6" s="10">
        <v>1452</v>
      </c>
      <c r="K6" s="12">
        <v>318</v>
      </c>
      <c r="L6" s="12">
        <v>326</v>
      </c>
      <c r="M6" s="12"/>
      <c r="N6" s="12"/>
      <c r="O6" s="10">
        <v>644</v>
      </c>
      <c r="P6" s="13">
        <v>1.8596491228070176</v>
      </c>
      <c r="Q6" s="13">
        <v>1.4119850187265919</v>
      </c>
      <c r="R6" s="14">
        <v>9.1222006600847061E-3</v>
      </c>
    </row>
    <row r="7" spans="1:18" ht="15" customHeight="1" x14ac:dyDescent="0.25">
      <c r="A7" t="s">
        <v>47</v>
      </c>
      <c r="B7" s="10">
        <v>4381</v>
      </c>
      <c r="C7" s="10">
        <v>5280</v>
      </c>
      <c r="D7" s="10">
        <v>5505</v>
      </c>
      <c r="E7" s="10">
        <v>5290</v>
      </c>
      <c r="F7" s="11">
        <v>628</v>
      </c>
      <c r="G7" s="11">
        <v>733</v>
      </c>
      <c r="H7" s="11">
        <v>937</v>
      </c>
      <c r="I7" s="11">
        <v>1356</v>
      </c>
      <c r="J7" s="10">
        <v>3654</v>
      </c>
      <c r="K7" s="12">
        <v>732</v>
      </c>
      <c r="L7" s="12">
        <v>569</v>
      </c>
      <c r="M7" s="12"/>
      <c r="N7" s="12"/>
      <c r="O7" s="10">
        <v>1301</v>
      </c>
      <c r="P7" s="13">
        <v>-0.22373806275579811</v>
      </c>
      <c r="Q7" s="13">
        <v>-4.4085231447465123E-2</v>
      </c>
      <c r="R7" s="14">
        <v>1.8428545122313979E-2</v>
      </c>
    </row>
    <row r="8" spans="1:18" ht="15" customHeight="1" x14ac:dyDescent="0.25">
      <c r="A8" t="s">
        <v>49</v>
      </c>
      <c r="B8" s="10">
        <v>1135</v>
      </c>
      <c r="C8" s="10">
        <v>1107</v>
      </c>
      <c r="D8" s="10">
        <v>1035</v>
      </c>
      <c r="E8" s="10">
        <v>860</v>
      </c>
      <c r="F8" s="11">
        <v>203</v>
      </c>
      <c r="G8" s="11">
        <v>170</v>
      </c>
      <c r="H8" s="11">
        <v>323</v>
      </c>
      <c r="I8" s="11">
        <v>166</v>
      </c>
      <c r="J8" s="10">
        <v>862</v>
      </c>
      <c r="K8" s="12">
        <v>201</v>
      </c>
      <c r="L8" s="12">
        <v>131</v>
      </c>
      <c r="M8" s="12"/>
      <c r="N8" s="12"/>
      <c r="O8" s="10">
        <v>332</v>
      </c>
      <c r="P8" s="13">
        <v>-0.22941176470588232</v>
      </c>
      <c r="Q8" s="13">
        <v>-0.10991957104557637</v>
      </c>
      <c r="R8" s="14">
        <v>4.7027494086150966E-3</v>
      </c>
    </row>
    <row r="9" spans="1:18" ht="15" customHeight="1" x14ac:dyDescent="0.25">
      <c r="A9" t="s">
        <v>23</v>
      </c>
      <c r="B9" s="10">
        <v>1017</v>
      </c>
      <c r="C9" s="10">
        <v>1546</v>
      </c>
      <c r="D9" s="10">
        <v>2022</v>
      </c>
      <c r="E9" s="10">
        <v>2215</v>
      </c>
      <c r="F9" s="11">
        <v>290</v>
      </c>
      <c r="G9" s="11">
        <v>595</v>
      </c>
      <c r="H9" s="11">
        <v>803</v>
      </c>
      <c r="I9" s="11">
        <v>771</v>
      </c>
      <c r="J9" s="10">
        <v>2459</v>
      </c>
      <c r="K9" s="12">
        <v>555</v>
      </c>
      <c r="L9" s="12">
        <v>611</v>
      </c>
      <c r="M9" s="12"/>
      <c r="N9" s="12"/>
      <c r="O9" s="10">
        <v>1166</v>
      </c>
      <c r="P9" s="13">
        <v>2.6890756302520913E-2</v>
      </c>
      <c r="Q9" s="13">
        <v>0.31751412429378534</v>
      </c>
      <c r="R9" s="14">
        <v>1.6516282561581937E-2</v>
      </c>
    </row>
    <row r="10" spans="1:18" ht="15" customHeight="1" x14ac:dyDescent="0.25">
      <c r="A10" t="s">
        <v>50</v>
      </c>
      <c r="B10" s="10">
        <v>1716</v>
      </c>
      <c r="C10" s="10">
        <v>1512</v>
      </c>
      <c r="D10" s="10">
        <v>1534</v>
      </c>
      <c r="E10" s="10">
        <v>1928</v>
      </c>
      <c r="F10" s="11">
        <v>261</v>
      </c>
      <c r="G10" s="11">
        <v>216</v>
      </c>
      <c r="H10" s="11">
        <v>442</v>
      </c>
      <c r="I10" s="11">
        <v>722</v>
      </c>
      <c r="J10" s="10">
        <v>1641</v>
      </c>
      <c r="K10" s="12">
        <v>306</v>
      </c>
      <c r="L10" s="12">
        <v>147</v>
      </c>
      <c r="M10" s="12"/>
      <c r="N10" s="12"/>
      <c r="O10" s="10">
        <v>453</v>
      </c>
      <c r="P10" s="13">
        <v>-0.31944444444444442</v>
      </c>
      <c r="Q10" s="13">
        <v>-5.031446540880502E-2</v>
      </c>
      <c r="R10" s="14">
        <v>6.416703259345298E-3</v>
      </c>
    </row>
    <row r="11" spans="1:18" ht="15" customHeight="1" x14ac:dyDescent="0.25">
      <c r="A11" t="s">
        <v>25</v>
      </c>
      <c r="B11" s="10">
        <v>21982</v>
      </c>
      <c r="C11" s="10">
        <v>33808</v>
      </c>
      <c r="D11" s="10">
        <v>27525</v>
      </c>
      <c r="E11" s="10">
        <v>23065</v>
      </c>
      <c r="F11" s="11">
        <v>3585</v>
      </c>
      <c r="G11" s="11">
        <v>6872</v>
      </c>
      <c r="H11" s="11">
        <v>6295</v>
      </c>
      <c r="I11" s="11">
        <v>8114</v>
      </c>
      <c r="J11" s="10">
        <v>24866</v>
      </c>
      <c r="K11" s="12">
        <v>5169</v>
      </c>
      <c r="L11" s="12">
        <v>5967</v>
      </c>
      <c r="M11" s="12"/>
      <c r="N11" s="12"/>
      <c r="O11" s="10">
        <v>11136</v>
      </c>
      <c r="P11" s="13">
        <v>-0.1316938300349243</v>
      </c>
      <c r="Q11" s="13">
        <v>6.4932581046189153E-2</v>
      </c>
      <c r="R11" s="14">
        <v>0.1577404138986076</v>
      </c>
    </row>
    <row r="12" spans="1:18" ht="15" customHeight="1" x14ac:dyDescent="0.25">
      <c r="A12" t="s">
        <v>51</v>
      </c>
      <c r="B12" s="10">
        <v>11988</v>
      </c>
      <c r="C12" s="10">
        <v>4730</v>
      </c>
      <c r="D12" s="10">
        <v>14928</v>
      </c>
      <c r="E12" s="10">
        <v>16534</v>
      </c>
      <c r="F12" s="11">
        <v>2785</v>
      </c>
      <c r="G12" s="11">
        <v>4795</v>
      </c>
      <c r="H12" s="11">
        <v>4756</v>
      </c>
      <c r="I12" s="11">
        <v>5123</v>
      </c>
      <c r="J12" s="10">
        <v>17459</v>
      </c>
      <c r="K12" s="12">
        <v>4082</v>
      </c>
      <c r="L12" s="12">
        <v>4441</v>
      </c>
      <c r="M12" s="12"/>
      <c r="N12" s="12"/>
      <c r="O12" s="10">
        <v>8523</v>
      </c>
      <c r="P12" s="13">
        <v>-7.3826903023983315E-2</v>
      </c>
      <c r="Q12" s="13">
        <v>0.12440633245382582</v>
      </c>
      <c r="R12" s="14">
        <v>0.12072750966754961</v>
      </c>
    </row>
    <row r="13" spans="1:18" ht="15" customHeight="1" x14ac:dyDescent="0.25">
      <c r="A13" t="s">
        <v>69</v>
      </c>
      <c r="B13" s="10">
        <v>5662</v>
      </c>
      <c r="C13" s="10">
        <v>6303</v>
      </c>
      <c r="D13" s="10">
        <v>6801</v>
      </c>
      <c r="E13" s="10">
        <v>5880</v>
      </c>
      <c r="F13" s="11">
        <v>466</v>
      </c>
      <c r="G13" s="11">
        <v>796</v>
      </c>
      <c r="H13" s="11">
        <v>1463</v>
      </c>
      <c r="I13" s="11">
        <v>2737</v>
      </c>
      <c r="J13" s="10">
        <v>5462</v>
      </c>
      <c r="K13" s="12">
        <v>702</v>
      </c>
      <c r="L13" s="12">
        <v>320</v>
      </c>
      <c r="M13" s="12"/>
      <c r="N13" s="12"/>
      <c r="O13" s="10">
        <v>1022</v>
      </c>
      <c r="P13" s="13">
        <v>-0.59798994974874375</v>
      </c>
      <c r="Q13" s="13">
        <v>-0.19017432646592713</v>
      </c>
      <c r="R13" s="14">
        <v>1.4476535830134425E-2</v>
      </c>
    </row>
    <row r="14" spans="1:18" ht="15" customHeight="1" x14ac:dyDescent="0.25">
      <c r="A14" t="s">
        <v>52</v>
      </c>
      <c r="B14" s="10">
        <v>3102</v>
      </c>
      <c r="C14" s="10">
        <v>3271</v>
      </c>
      <c r="D14" s="10">
        <v>3032</v>
      </c>
      <c r="E14" s="10">
        <v>3049</v>
      </c>
      <c r="F14" s="11">
        <v>297</v>
      </c>
      <c r="G14" s="11">
        <v>215</v>
      </c>
      <c r="H14" s="11">
        <v>770</v>
      </c>
      <c r="I14" s="11">
        <v>1244</v>
      </c>
      <c r="J14" s="10">
        <v>2526</v>
      </c>
      <c r="K14" s="12">
        <v>220</v>
      </c>
      <c r="L14" s="12">
        <v>210</v>
      </c>
      <c r="M14" s="12"/>
      <c r="N14" s="12"/>
      <c r="O14" s="10">
        <v>430</v>
      </c>
      <c r="P14" s="13">
        <v>-2.3255813953488413E-2</v>
      </c>
      <c r="Q14" s="13">
        <v>-0.16015625</v>
      </c>
      <c r="R14" s="14">
        <v>6.0909103786279872E-3</v>
      </c>
    </row>
    <row r="15" spans="1:18" ht="15" customHeight="1" x14ac:dyDescent="0.25">
      <c r="A15" t="s">
        <v>62</v>
      </c>
      <c r="B15" s="10">
        <v>1319</v>
      </c>
      <c r="C15" s="10">
        <v>1085</v>
      </c>
      <c r="D15" s="10">
        <v>1122</v>
      </c>
      <c r="E15" s="10">
        <v>917</v>
      </c>
      <c r="F15" s="11">
        <v>71</v>
      </c>
      <c r="G15" s="11">
        <v>38</v>
      </c>
      <c r="H15" s="11">
        <v>217</v>
      </c>
      <c r="I15" s="11">
        <v>599</v>
      </c>
      <c r="J15" s="10">
        <v>925</v>
      </c>
      <c r="K15" s="12">
        <v>44</v>
      </c>
      <c r="L15" s="12">
        <v>47</v>
      </c>
      <c r="M15" s="12"/>
      <c r="N15" s="12"/>
      <c r="O15" s="10">
        <v>91</v>
      </c>
      <c r="P15" s="13">
        <v>0.23684210526315796</v>
      </c>
      <c r="Q15" s="13">
        <v>-0.16513761467889909</v>
      </c>
      <c r="R15" s="14">
        <v>1.2890066150119694E-3</v>
      </c>
    </row>
    <row r="16" spans="1:18" ht="15" customHeight="1" x14ac:dyDescent="0.25">
      <c r="A16" t="s">
        <v>29</v>
      </c>
      <c r="B16" s="10">
        <v>29622</v>
      </c>
      <c r="C16" s="10">
        <v>28380</v>
      </c>
      <c r="D16" s="10">
        <v>30261</v>
      </c>
      <c r="E16" s="10">
        <v>27044</v>
      </c>
      <c r="F16" s="11">
        <v>5227</v>
      </c>
      <c r="G16" s="11">
        <v>6244</v>
      </c>
      <c r="H16" s="11">
        <v>7622</v>
      </c>
      <c r="I16" s="11">
        <v>8540</v>
      </c>
      <c r="J16" s="10">
        <v>27633</v>
      </c>
      <c r="K16" s="12">
        <v>4730</v>
      </c>
      <c r="L16" s="12">
        <v>6367</v>
      </c>
      <c r="M16" s="12"/>
      <c r="N16" s="12"/>
      <c r="O16" s="10">
        <v>11097</v>
      </c>
      <c r="P16" s="13">
        <v>1.9698910954516258E-2</v>
      </c>
      <c r="Q16" s="13">
        <v>-3.2603957806642825E-2</v>
      </c>
      <c r="R16" s="14">
        <v>0.15718798249217389</v>
      </c>
    </row>
    <row r="17" spans="1:18" ht="15" customHeight="1" x14ac:dyDescent="0.25">
      <c r="A17" t="s">
        <v>30</v>
      </c>
      <c r="B17" s="10">
        <v>3443</v>
      </c>
      <c r="C17" s="10">
        <v>3344</v>
      </c>
      <c r="D17" s="10">
        <v>3441</v>
      </c>
      <c r="E17" s="10">
        <v>2449</v>
      </c>
      <c r="F17" s="11">
        <v>778</v>
      </c>
      <c r="G17" s="11">
        <v>523</v>
      </c>
      <c r="H17" s="11">
        <v>708</v>
      </c>
      <c r="I17" s="11">
        <v>603</v>
      </c>
      <c r="J17" s="10">
        <v>2612</v>
      </c>
      <c r="K17" s="12">
        <v>655</v>
      </c>
      <c r="L17" s="12">
        <v>583</v>
      </c>
      <c r="M17" s="12"/>
      <c r="N17" s="12"/>
      <c r="O17" s="10">
        <v>1238</v>
      </c>
      <c r="P17" s="13">
        <v>0.1147227533460804</v>
      </c>
      <c r="Q17" s="13">
        <v>-4.8424289008455079E-2</v>
      </c>
      <c r="R17" s="14">
        <v>1.7536155927305692E-2</v>
      </c>
    </row>
    <row r="18" spans="1:18" ht="15" customHeight="1" x14ac:dyDescent="0.25">
      <c r="A18" t="s">
        <v>31</v>
      </c>
      <c r="B18" s="10">
        <v>2344</v>
      </c>
      <c r="C18" s="10">
        <v>2966</v>
      </c>
      <c r="D18" s="10">
        <v>3710</v>
      </c>
      <c r="E18" s="10">
        <v>3362</v>
      </c>
      <c r="F18" s="11">
        <v>363</v>
      </c>
      <c r="G18" s="11">
        <v>273</v>
      </c>
      <c r="H18" s="11">
        <v>759</v>
      </c>
      <c r="I18" s="11">
        <v>1483</v>
      </c>
      <c r="J18" s="10">
        <v>2878</v>
      </c>
      <c r="K18" s="12">
        <v>632</v>
      </c>
      <c r="L18" s="12">
        <v>323</v>
      </c>
      <c r="M18" s="12"/>
      <c r="N18" s="12"/>
      <c r="O18" s="10">
        <v>955</v>
      </c>
      <c r="P18" s="13">
        <v>0.18315018315018317</v>
      </c>
      <c r="Q18" s="13">
        <v>0.5015723270440251</v>
      </c>
      <c r="R18" s="14">
        <v>1.352748700369704E-2</v>
      </c>
    </row>
    <row r="19" spans="1:18" ht="15" customHeight="1" x14ac:dyDescent="0.25">
      <c r="A19" t="s">
        <v>54</v>
      </c>
      <c r="B19" s="10">
        <v>87156</v>
      </c>
      <c r="C19" s="10">
        <v>84407</v>
      </c>
      <c r="D19" s="10">
        <v>82992</v>
      </c>
      <c r="E19" s="10">
        <v>71854</v>
      </c>
      <c r="F19" s="11">
        <v>9198</v>
      </c>
      <c r="G19" s="11">
        <v>14917</v>
      </c>
      <c r="H19" s="11">
        <v>16680</v>
      </c>
      <c r="I19" s="11">
        <v>17985</v>
      </c>
      <c r="J19" s="10">
        <v>58780</v>
      </c>
      <c r="K19" s="12">
        <v>11762</v>
      </c>
      <c r="L19" s="12">
        <v>13807</v>
      </c>
      <c r="M19" s="12"/>
      <c r="N19" s="12"/>
      <c r="O19" s="10">
        <v>25569</v>
      </c>
      <c r="P19" s="13">
        <v>-7.4411744988938766E-2</v>
      </c>
      <c r="Q19" s="13">
        <v>6.0294422558573535E-2</v>
      </c>
      <c r="R19" s="14">
        <v>0.36218252900264886</v>
      </c>
    </row>
    <row r="20" spans="1:18" ht="15" customHeight="1" x14ac:dyDescent="0.25">
      <c r="A20" t="s">
        <v>70</v>
      </c>
      <c r="B20" s="10">
        <v>9746</v>
      </c>
      <c r="C20" s="10">
        <v>8704</v>
      </c>
      <c r="D20" s="10">
        <v>8263</v>
      </c>
      <c r="E20" s="10">
        <v>6827</v>
      </c>
      <c r="F20" s="11">
        <v>1081</v>
      </c>
      <c r="G20" s="11">
        <v>949</v>
      </c>
      <c r="H20" s="11">
        <v>1487</v>
      </c>
      <c r="I20" s="11">
        <v>2914</v>
      </c>
      <c r="J20" s="10">
        <v>6431</v>
      </c>
      <c r="K20" s="12">
        <v>1320</v>
      </c>
      <c r="L20" s="12">
        <v>613</v>
      </c>
      <c r="M20" s="12"/>
      <c r="N20" s="12"/>
      <c r="O20" s="10">
        <v>1933</v>
      </c>
      <c r="P20" s="13">
        <v>-0.35405690200210749</v>
      </c>
      <c r="Q20" s="13">
        <v>-4.7783251231527046E-2</v>
      </c>
      <c r="R20" s="14">
        <v>2.7380766888111394E-2</v>
      </c>
    </row>
    <row r="21" spans="1:18" ht="15" customHeight="1" x14ac:dyDescent="0.25">
      <c r="A21" t="s">
        <v>55</v>
      </c>
      <c r="B21" s="10">
        <v>1133</v>
      </c>
      <c r="C21" s="10">
        <v>1019</v>
      </c>
      <c r="D21" s="10">
        <v>1117</v>
      </c>
      <c r="E21" s="10">
        <v>916</v>
      </c>
      <c r="F21" s="11">
        <v>247</v>
      </c>
      <c r="G21" s="11">
        <v>53</v>
      </c>
      <c r="H21" s="11">
        <v>256</v>
      </c>
      <c r="I21" s="11">
        <v>353</v>
      </c>
      <c r="J21" s="10">
        <v>909</v>
      </c>
      <c r="K21" s="12">
        <v>182</v>
      </c>
      <c r="L21" s="12">
        <v>82</v>
      </c>
      <c r="M21" s="12"/>
      <c r="N21" s="12"/>
      <c r="O21" s="10">
        <v>264</v>
      </c>
      <c r="P21" s="13">
        <v>0.54716981132075482</v>
      </c>
      <c r="Q21" s="13">
        <v>-0.12</v>
      </c>
      <c r="R21" s="14">
        <v>3.7395356743204385E-3</v>
      </c>
    </row>
    <row r="22" spans="1:18" ht="15" customHeight="1" x14ac:dyDescent="0.25">
      <c r="A22" t="s">
        <v>64</v>
      </c>
      <c r="B22" s="10">
        <v>2178</v>
      </c>
      <c r="C22" s="10">
        <v>2468</v>
      </c>
      <c r="D22" s="10">
        <v>287</v>
      </c>
      <c r="E22" s="10">
        <v>984</v>
      </c>
      <c r="F22" s="11">
        <v>160</v>
      </c>
      <c r="G22" s="11">
        <v>57</v>
      </c>
      <c r="H22" s="11">
        <v>185</v>
      </c>
      <c r="I22" s="11">
        <v>413</v>
      </c>
      <c r="J22" s="10">
        <v>815</v>
      </c>
      <c r="K22" s="12">
        <v>123</v>
      </c>
      <c r="L22" s="12">
        <v>21</v>
      </c>
      <c r="M22" s="12"/>
      <c r="N22" s="12"/>
      <c r="O22" s="10">
        <v>144</v>
      </c>
      <c r="P22" s="13">
        <v>-0.63157894736842102</v>
      </c>
      <c r="Q22" s="13">
        <v>-0.33640552995391704</v>
      </c>
      <c r="R22" s="14">
        <v>2.0397467314475118E-3</v>
      </c>
    </row>
    <row r="23" spans="1:18" ht="15" customHeight="1" x14ac:dyDescent="0.25">
      <c r="A23" t="s">
        <v>71</v>
      </c>
      <c r="B23" s="10">
        <v>1197</v>
      </c>
      <c r="C23" s="10">
        <v>1186</v>
      </c>
      <c r="D23" s="10">
        <v>1000</v>
      </c>
      <c r="E23" s="10">
        <v>1129</v>
      </c>
      <c r="F23" s="11">
        <v>69</v>
      </c>
      <c r="G23" s="11">
        <v>73</v>
      </c>
      <c r="H23" s="11">
        <v>145</v>
      </c>
      <c r="I23" s="11">
        <v>630</v>
      </c>
      <c r="J23" s="10">
        <v>917</v>
      </c>
      <c r="K23" s="12">
        <v>53</v>
      </c>
      <c r="L23" s="12">
        <v>16</v>
      </c>
      <c r="M23" s="12"/>
      <c r="N23" s="12"/>
      <c r="O23" s="10">
        <v>69</v>
      </c>
      <c r="P23" s="13">
        <v>-0.78082191780821919</v>
      </c>
      <c r="Q23" s="13">
        <v>-0.5140845070422535</v>
      </c>
      <c r="R23" s="14">
        <v>9.7737864215193286E-4</v>
      </c>
    </row>
    <row r="24" spans="1:18" ht="15" customHeight="1" x14ac:dyDescent="0.25">
      <c r="A24" t="s">
        <v>56</v>
      </c>
      <c r="B24" s="10">
        <v>1396</v>
      </c>
      <c r="C24" s="10">
        <v>1047</v>
      </c>
      <c r="D24" s="10">
        <v>1040</v>
      </c>
      <c r="E24" s="10">
        <v>927</v>
      </c>
      <c r="F24" s="11">
        <v>101</v>
      </c>
      <c r="G24" s="11">
        <v>113</v>
      </c>
      <c r="H24" s="11">
        <v>212</v>
      </c>
      <c r="I24" s="11">
        <v>339</v>
      </c>
      <c r="J24" s="10">
        <v>765</v>
      </c>
      <c r="K24" s="12">
        <v>108</v>
      </c>
      <c r="L24" s="12">
        <v>74</v>
      </c>
      <c r="M24" s="12"/>
      <c r="N24" s="12"/>
      <c r="O24" s="10">
        <v>182</v>
      </c>
      <c r="P24" s="13">
        <v>-0.34513274336283184</v>
      </c>
      <c r="Q24" s="13">
        <v>-0.14953271028037385</v>
      </c>
      <c r="R24" s="14">
        <v>2.5780132300239388E-3</v>
      </c>
    </row>
    <row r="25" spans="1:18" ht="15" customHeight="1" x14ac:dyDescent="0.25">
      <c r="A25" t="s">
        <v>72</v>
      </c>
      <c r="B25" s="10">
        <v>1410</v>
      </c>
      <c r="C25" s="10">
        <v>1457</v>
      </c>
      <c r="D25" s="10">
        <v>1637</v>
      </c>
      <c r="E25" s="10">
        <v>1324</v>
      </c>
      <c r="F25" s="11">
        <v>110</v>
      </c>
      <c r="G25" s="11">
        <v>178</v>
      </c>
      <c r="H25" s="11">
        <v>435</v>
      </c>
      <c r="I25" s="11">
        <v>761</v>
      </c>
      <c r="J25" s="10">
        <v>1484</v>
      </c>
      <c r="K25" s="12">
        <v>140</v>
      </c>
      <c r="L25" s="12">
        <v>85</v>
      </c>
      <c r="M25" s="12"/>
      <c r="N25" s="12"/>
      <c r="O25" s="10">
        <v>225</v>
      </c>
      <c r="P25" s="13">
        <v>-0.52247191011235961</v>
      </c>
      <c r="Q25" s="13">
        <v>-0.21875</v>
      </c>
      <c r="R25" s="14">
        <v>3.1871042678867376E-3</v>
      </c>
    </row>
    <row r="26" spans="1:18" ht="15" customHeight="1" x14ac:dyDescent="0.25">
      <c r="A26" t="s">
        <v>73</v>
      </c>
      <c r="B26" s="10">
        <v>1062</v>
      </c>
      <c r="C26" s="10">
        <v>952</v>
      </c>
      <c r="D26" s="10">
        <v>903</v>
      </c>
      <c r="E26" s="10">
        <v>752</v>
      </c>
      <c r="F26" s="11">
        <v>135</v>
      </c>
      <c r="G26" s="11">
        <v>95</v>
      </c>
      <c r="H26" s="11">
        <v>221</v>
      </c>
      <c r="I26" s="11">
        <v>431</v>
      </c>
      <c r="J26" s="10">
        <v>882</v>
      </c>
      <c r="K26" s="12">
        <v>94</v>
      </c>
      <c r="L26" s="12">
        <v>52</v>
      </c>
      <c r="M26" s="12"/>
      <c r="N26" s="12"/>
      <c r="O26" s="10">
        <v>146</v>
      </c>
      <c r="P26" s="13">
        <v>-0.45263157894736838</v>
      </c>
      <c r="Q26" s="13">
        <v>-0.36521739130434783</v>
      </c>
      <c r="R26" s="14">
        <v>2.0680765471620607E-3</v>
      </c>
    </row>
    <row r="27" spans="1:18" ht="15" customHeight="1" x14ac:dyDescent="0.25">
      <c r="A27" t="s">
        <v>74</v>
      </c>
      <c r="B27" s="10">
        <v>4327</v>
      </c>
      <c r="C27" s="10">
        <v>3950</v>
      </c>
      <c r="D27" s="10">
        <v>3969</v>
      </c>
      <c r="E27" s="10">
        <v>3537</v>
      </c>
      <c r="F27" s="11">
        <v>360</v>
      </c>
      <c r="G27" s="11">
        <v>403</v>
      </c>
      <c r="H27" s="11">
        <v>857</v>
      </c>
      <c r="I27" s="11">
        <v>1594</v>
      </c>
      <c r="J27" s="10">
        <v>3214</v>
      </c>
      <c r="K27" s="12">
        <v>488</v>
      </c>
      <c r="L27" s="12">
        <v>302</v>
      </c>
      <c r="M27" s="12"/>
      <c r="N27" s="12"/>
      <c r="O27" s="10">
        <v>790</v>
      </c>
      <c r="P27" s="13">
        <v>-0.25062034739454098</v>
      </c>
      <c r="Q27" s="13">
        <v>3.5386631716906924E-2</v>
      </c>
      <c r="R27" s="14">
        <v>1.1190277207246767E-2</v>
      </c>
    </row>
    <row r="28" spans="1:18" ht="15" customHeight="1" x14ac:dyDescent="0.25">
      <c r="A28" t="s">
        <v>34</v>
      </c>
      <c r="B28" s="10">
        <v>25639</v>
      </c>
      <c r="C28" s="10">
        <v>23067</v>
      </c>
      <c r="D28" s="10">
        <v>20593</v>
      </c>
      <c r="E28" s="10">
        <v>15735</v>
      </c>
      <c r="F28" s="11">
        <v>1445</v>
      </c>
      <c r="G28" s="11">
        <v>1337</v>
      </c>
      <c r="H28" s="11">
        <v>4121</v>
      </c>
      <c r="I28" s="11">
        <v>8054</v>
      </c>
      <c r="J28" s="10">
        <v>14957</v>
      </c>
      <c r="K28" s="12">
        <v>1078</v>
      </c>
      <c r="L28" s="12">
        <v>523</v>
      </c>
      <c r="M28" s="12"/>
      <c r="N28" s="12"/>
      <c r="O28" s="10">
        <v>1601</v>
      </c>
      <c r="P28" s="13">
        <v>-0.60882572924457734</v>
      </c>
      <c r="Q28" s="13">
        <v>-0.42451473759884972</v>
      </c>
      <c r="R28" s="14">
        <v>2.2678017479496295E-2</v>
      </c>
    </row>
    <row r="29" spans="1:18" ht="15" customHeight="1" x14ac:dyDescent="0.25">
      <c r="A29" t="s">
        <v>35</v>
      </c>
      <c r="B29" s="10">
        <f>SUBTOTAL(109,Tabell_Får[2021])</f>
        <v>230120</v>
      </c>
      <c r="C29" s="10">
        <f>SUBTOTAL(109,Tabell_Får[2022])</f>
        <v>228822</v>
      </c>
      <c r="D29" s="10">
        <f>SUBTOTAL(109,Tabell_Får[2023])</f>
        <v>229132</v>
      </c>
      <c r="E29" s="10">
        <f>SUBTOTAL(109,Tabell_Får[2024])</f>
        <v>201802</v>
      </c>
      <c r="F29" s="10">
        <f>SUBTOTAL(109,Tabell_Får[Kvartal 1 2025])</f>
        <v>28534</v>
      </c>
      <c r="G29" s="10">
        <f>SUBTOTAL(109,Tabell_Får[Kvartal 2 2025])</f>
        <v>40570</v>
      </c>
      <c r="H29" s="10">
        <f>SUBTOTAL(109,Tabell_Får[Kvartal 3 2025])</f>
        <v>51066</v>
      </c>
      <c r="I29" s="10">
        <f>SUBTOTAL(109,Tabell_Får[Kvartal 4 2025])</f>
        <v>66977</v>
      </c>
      <c r="J29" s="10">
        <f>SUBTOTAL(109,Tabell_Får[2025])</f>
        <v>187147</v>
      </c>
      <c r="K29" s="10">
        <f>SUBTOTAL(109,Tabell_Får[Kvartal 1 2026])</f>
        <v>34338</v>
      </c>
      <c r="L29" s="10">
        <f>SUBTOTAL(109,Tabell_Får[Kvartal 2 2026])</f>
        <v>36259</v>
      </c>
      <c r="M29" s="10">
        <f>SUBTOTAL(109,Tabell_Får[Kvartal 3 2026])</f>
        <v>0</v>
      </c>
      <c r="N29" s="10">
        <f>SUBTOTAL(109,Tabell_Får[Kvartal 4 2026])</f>
        <v>0</v>
      </c>
      <c r="O29" s="10">
        <f>SUBTOTAL(109,Tabell_Får[2026])</f>
        <v>70597</v>
      </c>
      <c r="P29" s="16">
        <f>L29/G29-1</f>
        <v>-0.10626078383041659</v>
      </c>
      <c r="Q29" s="16">
        <f>O29/SUM(F29:G29)-1</f>
        <v>2.1605116925214274E-2</v>
      </c>
      <c r="R29" s="14">
        <f>SUBTOTAL(109,Tabell_Får[Procentuell andel 2026*])</f>
        <v>0.99999999999999989</v>
      </c>
    </row>
    <row r="30" spans="1:18" ht="15" customHeight="1" x14ac:dyDescent="0.2">
      <c r="A30" s="24" t="s">
        <v>75</v>
      </c>
    </row>
    <row r="31" spans="1:18" ht="15" customHeight="1" x14ac:dyDescent="0.2">
      <c r="A31" s="24" t="s">
        <v>37</v>
      </c>
    </row>
    <row r="32" spans="1:18" ht="15" customHeight="1" x14ac:dyDescent="0.2">
      <c r="A32" s="24" t="s">
        <v>76</v>
      </c>
    </row>
    <row r="33" spans="1:1" ht="15" customHeight="1" x14ac:dyDescent="0.2">
      <c r="A33" s="24" t="s">
        <v>39</v>
      </c>
    </row>
    <row r="34" spans="1:1" ht="15" customHeight="1" x14ac:dyDescent="0.2"/>
    <row r="35" spans="1:1" ht="15" customHeight="1" x14ac:dyDescent="0.2"/>
    <row r="36" spans="1:1" ht="15" customHeight="1" x14ac:dyDescent="0.2"/>
    <row r="37" spans="1:1" ht="15" customHeight="1" x14ac:dyDescent="0.2"/>
    <row r="38" spans="1:1" ht="15" customHeight="1" x14ac:dyDescent="0.2"/>
    <row r="39" spans="1:1" ht="15" customHeight="1" x14ac:dyDescent="0.2"/>
    <row r="40" spans="1:1" ht="15" customHeight="1" x14ac:dyDescent="0.2"/>
    <row r="41" spans="1:1" ht="15" customHeight="1" x14ac:dyDescent="0.2"/>
    <row r="42" spans="1:1" ht="15" customHeight="1" x14ac:dyDescent="0.2"/>
    <row r="43" spans="1:1" ht="15" customHeight="1" x14ac:dyDescent="0.2"/>
    <row r="44" spans="1:1" ht="15" customHeight="1" x14ac:dyDescent="0.2"/>
    <row r="45" spans="1:1" ht="15" customHeight="1" x14ac:dyDescent="0.2"/>
    <row r="46" spans="1:1" ht="15" customHeight="1" x14ac:dyDescent="0.2"/>
    <row r="47" spans="1:1" ht="15" customHeight="1" x14ac:dyDescent="0.2"/>
    <row r="48" spans="1: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</sheetData>
  <dataConsolidate/>
  <pageMargins left="0.70866141732283472" right="0.31496062992125984" top="0.55118110236220474" bottom="0.74803149606299213" header="0.31496062992125984" footer="0.31496062992125984"/>
  <pageSetup paperSize="9" scale="78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75C0-118C-4300-9DD4-1F608C5F16A7}">
  <sheetPr codeName="flHäst">
    <pageSetUpPr fitToPage="1"/>
  </sheetPr>
  <dimension ref="A1:R92"/>
  <sheetViews>
    <sheetView workbookViewId="0">
      <selection activeCell="A2" sqref="A2"/>
    </sheetView>
  </sheetViews>
  <sheetFormatPr defaultColWidth="9.140625" defaultRowHeight="12" x14ac:dyDescent="0.2"/>
  <cols>
    <col min="1" max="1" width="27" style="24" customWidth="1"/>
    <col min="2" max="15" width="8.28515625" style="24" customWidth="1"/>
    <col min="16" max="16" width="9.28515625" style="24" customWidth="1"/>
    <col min="17" max="17" width="10.140625" style="24" customWidth="1"/>
    <col min="18" max="18" width="10" style="24" customWidth="1"/>
    <col min="19" max="16384" width="9.140625" style="24"/>
  </cols>
  <sheetData>
    <row r="1" spans="1:18" ht="92.25" customHeight="1" x14ac:dyDescent="0.25">
      <c r="A1" s="1" t="s">
        <v>77</v>
      </c>
      <c r="B1"/>
      <c r="C1" s="1"/>
      <c r="E1"/>
      <c r="F1"/>
      <c r="G1"/>
      <c r="H1"/>
      <c r="I1"/>
      <c r="J1" s="1"/>
      <c r="K1"/>
      <c r="L1"/>
      <c r="M1"/>
      <c r="N1"/>
      <c r="O1"/>
      <c r="P1"/>
      <c r="Q1"/>
      <c r="R1" s="2"/>
    </row>
    <row r="2" spans="1:18" ht="4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4" t="s">
        <v>15</v>
      </c>
      <c r="P2" s="6" t="s">
        <v>16</v>
      </c>
      <c r="Q2" s="6" t="s">
        <v>17</v>
      </c>
      <c r="R2" s="7" t="s">
        <v>18</v>
      </c>
    </row>
    <row r="3" spans="1:18" ht="15" customHeight="1" x14ac:dyDescent="0.25">
      <c r="A3" t="s">
        <v>45</v>
      </c>
      <c r="B3" s="10">
        <v>147</v>
      </c>
      <c r="C3" s="10">
        <v>181</v>
      </c>
      <c r="D3" s="10">
        <v>230</v>
      </c>
      <c r="E3" s="10">
        <v>251</v>
      </c>
      <c r="F3" s="11">
        <v>62</v>
      </c>
      <c r="G3" s="11">
        <v>36</v>
      </c>
      <c r="H3" s="11">
        <v>41</v>
      </c>
      <c r="I3" s="11">
        <v>60</v>
      </c>
      <c r="J3" s="10">
        <v>199</v>
      </c>
      <c r="K3" s="12">
        <v>31</v>
      </c>
      <c r="L3" s="12">
        <v>22</v>
      </c>
      <c r="M3" s="12"/>
      <c r="N3" s="12"/>
      <c r="O3" s="10">
        <v>53</v>
      </c>
      <c r="P3" s="13">
        <v>-0.38888888888888884</v>
      </c>
      <c r="Q3" s="13">
        <v>-0.45918367346938771</v>
      </c>
      <c r="R3" s="14">
        <v>0.13802083333333334</v>
      </c>
    </row>
    <row r="4" spans="1:18" ht="15" customHeight="1" x14ac:dyDescent="0.25">
      <c r="A4" t="s">
        <v>49</v>
      </c>
      <c r="B4" s="10">
        <v>105</v>
      </c>
      <c r="C4" s="10">
        <v>112</v>
      </c>
      <c r="D4" s="10">
        <v>112</v>
      </c>
      <c r="E4" s="10">
        <v>120</v>
      </c>
      <c r="F4" s="11">
        <v>38</v>
      </c>
      <c r="G4" s="11">
        <v>18</v>
      </c>
      <c r="H4" s="11">
        <v>22</v>
      </c>
      <c r="I4" s="11">
        <v>37</v>
      </c>
      <c r="J4" s="10">
        <v>115</v>
      </c>
      <c r="K4" s="12">
        <v>24</v>
      </c>
      <c r="L4" s="12">
        <v>11</v>
      </c>
      <c r="M4" s="12"/>
      <c r="N4" s="12"/>
      <c r="O4" s="10">
        <v>35</v>
      </c>
      <c r="P4" s="13">
        <v>-0.38888888888888884</v>
      </c>
      <c r="Q4" s="13">
        <v>-0.375</v>
      </c>
      <c r="R4" s="14">
        <v>9.1145833333333329E-2</v>
      </c>
    </row>
    <row r="5" spans="1:18" ht="15" customHeight="1" x14ac:dyDescent="0.25">
      <c r="A5" t="s">
        <v>52</v>
      </c>
      <c r="B5" s="10">
        <v>50</v>
      </c>
      <c r="C5" s="10">
        <v>37</v>
      </c>
      <c r="D5" s="10">
        <v>32</v>
      </c>
      <c r="E5" s="10">
        <v>29</v>
      </c>
      <c r="F5" s="11">
        <v>2</v>
      </c>
      <c r="G5" s="11">
        <v>3</v>
      </c>
      <c r="H5" s="11">
        <v>4</v>
      </c>
      <c r="I5" s="11">
        <v>5</v>
      </c>
      <c r="J5" s="10">
        <v>14</v>
      </c>
      <c r="K5" s="12">
        <v>3</v>
      </c>
      <c r="L5" s="12">
        <v>4</v>
      </c>
      <c r="M5" s="12"/>
      <c r="N5" s="12"/>
      <c r="O5" s="10">
        <v>7</v>
      </c>
      <c r="P5" s="13">
        <v>0.33333333333333326</v>
      </c>
      <c r="Q5" s="13">
        <v>0.39999999999999991</v>
      </c>
      <c r="R5" s="14">
        <v>1.8229166666666668E-2</v>
      </c>
    </row>
    <row r="6" spans="1:18" ht="15" customHeight="1" x14ac:dyDescent="0.25">
      <c r="A6" t="s">
        <v>62</v>
      </c>
      <c r="B6" s="10">
        <v>60</v>
      </c>
      <c r="C6" s="10">
        <v>73</v>
      </c>
      <c r="D6" s="10">
        <v>78</v>
      </c>
      <c r="E6" s="10">
        <v>82</v>
      </c>
      <c r="F6" s="11">
        <v>11</v>
      </c>
      <c r="G6" s="11">
        <v>9</v>
      </c>
      <c r="H6" s="11"/>
      <c r="I6" s="11">
        <v>7</v>
      </c>
      <c r="J6" s="10">
        <v>27</v>
      </c>
      <c r="K6" s="12">
        <v>12</v>
      </c>
      <c r="L6" s="12">
        <v>13</v>
      </c>
      <c r="M6" s="12"/>
      <c r="N6" s="12"/>
      <c r="O6" s="10">
        <v>25</v>
      </c>
      <c r="P6" s="13">
        <v>0.44444444444444442</v>
      </c>
      <c r="Q6" s="13">
        <v>0.25</v>
      </c>
      <c r="R6" s="14">
        <v>6.5104166666666671E-2</v>
      </c>
    </row>
    <row r="7" spans="1:18" ht="15" customHeight="1" x14ac:dyDescent="0.25">
      <c r="A7" t="s">
        <v>53</v>
      </c>
      <c r="B7" s="10">
        <v>191</v>
      </c>
      <c r="C7" s="10">
        <v>229</v>
      </c>
      <c r="D7" s="10">
        <v>298</v>
      </c>
      <c r="E7" s="10">
        <v>324</v>
      </c>
      <c r="F7" s="11">
        <v>55</v>
      </c>
      <c r="G7" s="11">
        <v>44</v>
      </c>
      <c r="H7" s="11">
        <v>74</v>
      </c>
      <c r="I7" s="11">
        <v>94</v>
      </c>
      <c r="J7" s="10">
        <v>267</v>
      </c>
      <c r="K7" s="12">
        <v>57</v>
      </c>
      <c r="L7" s="12">
        <v>52</v>
      </c>
      <c r="M7" s="12"/>
      <c r="N7" s="12"/>
      <c r="O7" s="10">
        <v>109</v>
      </c>
      <c r="P7" s="13">
        <v>0.18181818181818188</v>
      </c>
      <c r="Q7" s="13">
        <v>0.10101010101010099</v>
      </c>
      <c r="R7" s="14">
        <v>0.28385416666666669</v>
      </c>
    </row>
    <row r="8" spans="1:18" ht="15" customHeight="1" x14ac:dyDescent="0.25">
      <c r="A8" t="s">
        <v>30</v>
      </c>
      <c r="B8" s="10">
        <v>18</v>
      </c>
      <c r="C8" s="10">
        <v>15</v>
      </c>
      <c r="D8" s="10">
        <v>33</v>
      </c>
      <c r="E8" s="10">
        <v>37</v>
      </c>
      <c r="F8" s="11">
        <v>14</v>
      </c>
      <c r="G8" s="11">
        <v>2</v>
      </c>
      <c r="H8" s="11">
        <v>4</v>
      </c>
      <c r="I8" s="11">
        <v>6</v>
      </c>
      <c r="J8" s="10">
        <v>26</v>
      </c>
      <c r="K8" s="12">
        <v>5</v>
      </c>
      <c r="L8" s="12">
        <v>10</v>
      </c>
      <c r="M8" s="12"/>
      <c r="N8" s="12"/>
      <c r="O8" s="10">
        <v>15</v>
      </c>
      <c r="P8" s="13">
        <v>4</v>
      </c>
      <c r="Q8" s="13">
        <v>-6.25E-2</v>
      </c>
      <c r="R8" s="14">
        <v>3.90625E-2</v>
      </c>
    </row>
    <row r="9" spans="1:18" ht="15" customHeight="1" x14ac:dyDescent="0.25">
      <c r="A9" t="s">
        <v>55</v>
      </c>
      <c r="B9" s="10">
        <v>30</v>
      </c>
      <c r="C9" s="10">
        <v>72</v>
      </c>
      <c r="D9" s="10">
        <v>108</v>
      </c>
      <c r="E9" s="10">
        <v>103</v>
      </c>
      <c r="F9" s="11">
        <v>17</v>
      </c>
      <c r="G9" s="11">
        <v>21</v>
      </c>
      <c r="H9" s="11">
        <v>16</v>
      </c>
      <c r="I9" s="11">
        <v>19</v>
      </c>
      <c r="J9" s="10">
        <v>73</v>
      </c>
      <c r="K9" s="12">
        <v>14</v>
      </c>
      <c r="L9" s="12">
        <v>15</v>
      </c>
      <c r="M9" s="12"/>
      <c r="N9" s="12"/>
      <c r="O9" s="10">
        <v>29</v>
      </c>
      <c r="P9" s="13">
        <v>-0.2857142857142857</v>
      </c>
      <c r="Q9" s="13">
        <v>-0.23684210526315785</v>
      </c>
      <c r="R9" s="14">
        <v>7.5520833333333329E-2</v>
      </c>
    </row>
    <row r="10" spans="1:18" ht="15" customHeight="1" x14ac:dyDescent="0.25">
      <c r="A10" t="s">
        <v>78</v>
      </c>
      <c r="B10" s="10"/>
      <c r="C10" s="10">
        <v>1</v>
      </c>
      <c r="D10" s="10"/>
      <c r="E10" s="10"/>
      <c r="F10" s="11"/>
      <c r="G10" s="11"/>
      <c r="H10" s="11"/>
      <c r="I10" s="11"/>
      <c r="J10" s="10"/>
      <c r="K10" s="12"/>
      <c r="L10" s="12">
        <v>1</v>
      </c>
      <c r="M10" s="12"/>
      <c r="N10" s="12"/>
      <c r="O10" s="10">
        <v>1</v>
      </c>
      <c r="P10" s="13" t="s">
        <v>44</v>
      </c>
      <c r="Q10" s="13" t="s">
        <v>44</v>
      </c>
      <c r="R10" s="14">
        <v>2.6041666666666665E-3</v>
      </c>
    </row>
    <row r="11" spans="1:18" ht="15" customHeight="1" x14ac:dyDescent="0.25">
      <c r="A11" t="s">
        <v>72</v>
      </c>
      <c r="B11" s="10">
        <v>23</v>
      </c>
      <c r="C11" s="10">
        <v>24</v>
      </c>
      <c r="D11" s="10">
        <v>27</v>
      </c>
      <c r="E11" s="10">
        <v>26</v>
      </c>
      <c r="F11" s="11">
        <v>8</v>
      </c>
      <c r="G11" s="11">
        <v>3</v>
      </c>
      <c r="H11" s="11">
        <v>3</v>
      </c>
      <c r="I11" s="11">
        <v>3</v>
      </c>
      <c r="J11" s="10">
        <v>17</v>
      </c>
      <c r="K11" s="12">
        <v>3</v>
      </c>
      <c r="L11" s="12">
        <v>2</v>
      </c>
      <c r="M11" s="12"/>
      <c r="N11" s="12"/>
      <c r="O11" s="10">
        <v>5</v>
      </c>
      <c r="P11" s="13">
        <v>-0.33333333333333337</v>
      </c>
      <c r="Q11" s="13">
        <v>-0.54545454545454541</v>
      </c>
      <c r="R11" s="14">
        <v>1.3020833333333334E-2</v>
      </c>
    </row>
    <row r="12" spans="1:18" ht="15" customHeight="1" x14ac:dyDescent="0.25">
      <c r="A12" t="s">
        <v>34</v>
      </c>
      <c r="B12" s="10">
        <v>412</v>
      </c>
      <c r="C12" s="10">
        <v>299</v>
      </c>
      <c r="D12" s="10">
        <v>112</v>
      </c>
      <c r="E12" s="10">
        <v>230</v>
      </c>
      <c r="F12" s="11">
        <v>8</v>
      </c>
      <c r="G12" s="11">
        <v>1</v>
      </c>
      <c r="H12" s="11">
        <v>6</v>
      </c>
      <c r="I12" s="11">
        <v>14</v>
      </c>
      <c r="J12" s="10">
        <v>29</v>
      </c>
      <c r="K12" s="12">
        <v>62</v>
      </c>
      <c r="L12" s="12">
        <v>43</v>
      </c>
      <c r="M12" s="12"/>
      <c r="N12" s="12"/>
      <c r="O12" s="10">
        <v>105</v>
      </c>
      <c r="P12" s="13">
        <v>42</v>
      </c>
      <c r="Q12" s="13">
        <v>10.666666666666666</v>
      </c>
      <c r="R12" s="14">
        <v>0.2734375</v>
      </c>
    </row>
    <row r="13" spans="1:18" ht="15" customHeight="1" x14ac:dyDescent="0.25">
      <c r="A13" t="s">
        <v>35</v>
      </c>
      <c r="B13" s="10">
        <f>SUBTOTAL(109,Tabell_Häst[2021])</f>
        <v>1036</v>
      </c>
      <c r="C13" s="10">
        <f>SUBTOTAL(109,Tabell_Häst[2022])</f>
        <v>1043</v>
      </c>
      <c r="D13" s="10">
        <f>SUBTOTAL(109,Tabell_Häst[2023])</f>
        <v>1030</v>
      </c>
      <c r="E13" s="10">
        <f>SUBTOTAL(109,Tabell_Häst[2024])</f>
        <v>1202</v>
      </c>
      <c r="F13" s="10">
        <f>SUBTOTAL(109,Tabell_Häst[Kvartal 1 2025])</f>
        <v>215</v>
      </c>
      <c r="G13" s="10">
        <f>SUBTOTAL(109,Tabell_Häst[Kvartal 2 2025])</f>
        <v>137</v>
      </c>
      <c r="H13" s="10">
        <f>SUBTOTAL(109,Tabell_Häst[Kvartal 3 2025])</f>
        <v>170</v>
      </c>
      <c r="I13" s="10">
        <f>SUBTOTAL(109,Tabell_Häst[Kvartal 4 2025])</f>
        <v>245</v>
      </c>
      <c r="J13" s="10">
        <f>SUBTOTAL(109,Tabell_Häst[2025])</f>
        <v>767</v>
      </c>
      <c r="K13" s="10">
        <f>SUBTOTAL(109,Tabell_Häst[Kvartal 1 2026])</f>
        <v>211</v>
      </c>
      <c r="L13" s="10">
        <f>SUBTOTAL(109,Tabell_Häst[Kvartal 2 2026])</f>
        <v>173</v>
      </c>
      <c r="M13" s="10">
        <f>SUBTOTAL(109,Tabell_Häst[Kvartal 3 2026])</f>
        <v>0</v>
      </c>
      <c r="N13" s="10">
        <f>SUBTOTAL(109,Tabell_Häst[Kvartal 4 2026])</f>
        <v>0</v>
      </c>
      <c r="O13" s="10">
        <f>SUBTOTAL(109,Tabell_Häst[2026])</f>
        <v>384</v>
      </c>
      <c r="P13" s="16">
        <f>L13/G13-1</f>
        <v>0.26277372262773713</v>
      </c>
      <c r="Q13" s="16">
        <f>O13/SUM(F13:G13)-1</f>
        <v>9.0909090909090828E-2</v>
      </c>
      <c r="R13" s="14">
        <f>SUBTOTAL(109,Tabell_Häst[Procentuell andel 2026*])</f>
        <v>1</v>
      </c>
    </row>
    <row r="14" spans="1:18" ht="15" customHeight="1" x14ac:dyDescent="0.2">
      <c r="A14" s="24" t="s">
        <v>79</v>
      </c>
    </row>
    <row r="15" spans="1:18" ht="15" customHeight="1" x14ac:dyDescent="0.2">
      <c r="A15" s="24" t="s">
        <v>37</v>
      </c>
    </row>
    <row r="16" spans="1:18" ht="15" customHeight="1" x14ac:dyDescent="0.2">
      <c r="A16" s="24" t="s">
        <v>80</v>
      </c>
    </row>
    <row r="17" spans="1:1" ht="15" customHeight="1" x14ac:dyDescent="0.2">
      <c r="A17" s="24" t="s">
        <v>39</v>
      </c>
    </row>
    <row r="18" spans="1:1" ht="15" customHeight="1" x14ac:dyDescent="0.2"/>
    <row r="19" spans="1:1" ht="15" customHeight="1" x14ac:dyDescent="0.2"/>
    <row r="20" spans="1:1" ht="15" customHeight="1" x14ac:dyDescent="0.2"/>
    <row r="21" spans="1:1" ht="15" customHeight="1" x14ac:dyDescent="0.2"/>
    <row r="22" spans="1:1" ht="15" customHeight="1" x14ac:dyDescent="0.2"/>
    <row r="23" spans="1:1" ht="15" customHeight="1" x14ac:dyDescent="0.2"/>
    <row r="24" spans="1:1" ht="15" customHeight="1" x14ac:dyDescent="0.2"/>
    <row r="25" spans="1:1" ht="15" customHeight="1" x14ac:dyDescent="0.2"/>
    <row r="26" spans="1:1" ht="15" customHeight="1" x14ac:dyDescent="0.2"/>
    <row r="27" spans="1:1" ht="15" customHeight="1" x14ac:dyDescent="0.2"/>
    <row r="28" spans="1:1" ht="15" customHeight="1" x14ac:dyDescent="0.2"/>
    <row r="29" spans="1:1" ht="15" customHeight="1" x14ac:dyDescent="0.2"/>
    <row r="30" spans="1:1" ht="15" customHeight="1" x14ac:dyDescent="0.2"/>
    <row r="31" spans="1:1" ht="15" customHeight="1" x14ac:dyDescent="0.2"/>
    <row r="32" spans="1: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</sheetData>
  <dataConsolidate/>
  <pageMargins left="0.70866141732283472" right="0.31496062992125984" top="0.55118110236220474" bottom="0.74803149606299213" header="0.31496062992125984" footer="0.31496062992125984"/>
  <pageSetup paperSize="9" scale="78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EC42F-0F47-48AD-A614-81874D55C318}">
  <sheetPr codeName="Blad1"/>
  <dimension ref="A1:I30"/>
  <sheetViews>
    <sheetView zoomScaleNormal="100" workbookViewId="0">
      <selection activeCell="A2" sqref="A2"/>
    </sheetView>
  </sheetViews>
  <sheetFormatPr defaultColWidth="9.85546875" defaultRowHeight="12.75" x14ac:dyDescent="0.2"/>
  <cols>
    <col min="1" max="1" width="27" style="27" customWidth="1"/>
    <col min="2" max="2" width="10.5703125" style="27" bestFit="1" customWidth="1"/>
    <col min="3" max="3" width="12.140625" style="27" customWidth="1"/>
    <col min="4" max="5" width="10" style="27" bestFit="1" customWidth="1"/>
    <col min="6" max="6" width="8.7109375" style="27" customWidth="1"/>
    <col min="7" max="7" width="8.28515625" style="27" customWidth="1"/>
    <col min="8" max="16384" width="9.85546875" style="27"/>
  </cols>
  <sheetData>
    <row r="1" spans="1:8" s="24" customFormat="1" ht="92.25" customHeight="1" x14ac:dyDescent="0.25">
      <c r="A1" s="1" t="s">
        <v>81</v>
      </c>
      <c r="E1"/>
      <c r="F1"/>
      <c r="G1"/>
      <c r="H1"/>
    </row>
    <row r="2" spans="1:8" ht="15" x14ac:dyDescent="0.25">
      <c r="A2" s="25" t="s">
        <v>82</v>
      </c>
      <c r="B2" s="26" t="s">
        <v>83</v>
      </c>
      <c r="C2" s="26" t="s">
        <v>84</v>
      </c>
      <c r="D2" s="26" t="s">
        <v>85</v>
      </c>
      <c r="E2" s="26" t="s">
        <v>86</v>
      </c>
      <c r="F2" s="26" t="s">
        <v>87</v>
      </c>
      <c r="G2" s="26" t="s">
        <v>88</v>
      </c>
    </row>
    <row r="3" spans="1:8" ht="15" x14ac:dyDescent="0.25">
      <c r="A3" s="28">
        <v>2025</v>
      </c>
      <c r="B3" s="29">
        <v>2598948</v>
      </c>
      <c r="C3" s="29">
        <v>375516</v>
      </c>
      <c r="D3" s="29">
        <v>7262</v>
      </c>
      <c r="E3" s="29">
        <v>185856</v>
      </c>
      <c r="F3" s="29">
        <v>767</v>
      </c>
      <c r="G3" s="29">
        <v>542</v>
      </c>
    </row>
    <row r="4" spans="1:8" ht="15" x14ac:dyDescent="0.25">
      <c r="A4" s="30">
        <v>2024</v>
      </c>
      <c r="B4" s="29">
        <v>2576464</v>
      </c>
      <c r="C4" s="29">
        <v>414188</v>
      </c>
      <c r="D4" s="29">
        <v>9943</v>
      </c>
      <c r="E4" s="29">
        <v>201486</v>
      </c>
      <c r="F4" s="29">
        <v>1202</v>
      </c>
      <c r="G4" s="29">
        <v>910</v>
      </c>
    </row>
    <row r="5" spans="1:8" ht="15" x14ac:dyDescent="0.25">
      <c r="A5" s="30">
        <v>2023</v>
      </c>
      <c r="B5" s="29">
        <v>2568276</v>
      </c>
      <c r="C5" s="29">
        <v>409754</v>
      </c>
      <c r="D5" s="29">
        <v>10958</v>
      </c>
      <c r="E5" s="29">
        <v>228860</v>
      </c>
      <c r="F5" s="29">
        <v>1030</v>
      </c>
      <c r="G5" s="29">
        <v>906</v>
      </c>
    </row>
    <row r="6" spans="1:8" ht="15" x14ac:dyDescent="0.25">
      <c r="A6" s="31">
        <v>2022</v>
      </c>
      <c r="B6" s="10">
        <v>2668928</v>
      </c>
      <c r="C6" s="10">
        <v>400216</v>
      </c>
      <c r="D6" s="10">
        <v>11474</v>
      </c>
      <c r="E6" s="10">
        <v>228822</v>
      </c>
      <c r="F6" s="10">
        <v>1043</v>
      </c>
      <c r="G6" s="10">
        <v>1058</v>
      </c>
    </row>
    <row r="7" spans="1:8" ht="15" x14ac:dyDescent="0.25">
      <c r="A7" s="31">
        <v>2021</v>
      </c>
      <c r="B7" s="10">
        <v>2647847</v>
      </c>
      <c r="C7" s="10">
        <v>399962</v>
      </c>
      <c r="D7" s="10">
        <v>11499</v>
      </c>
      <c r="E7" s="10">
        <v>230120</v>
      </c>
      <c r="F7" s="10">
        <v>1036</v>
      </c>
      <c r="G7" s="10">
        <v>687</v>
      </c>
    </row>
    <row r="8" spans="1:8" ht="15" x14ac:dyDescent="0.25">
      <c r="A8" s="31">
        <v>2020</v>
      </c>
      <c r="B8" s="10">
        <v>2617581</v>
      </c>
      <c r="C8" s="10">
        <v>420198</v>
      </c>
      <c r="D8" s="10">
        <v>13468</v>
      </c>
      <c r="E8" s="10">
        <v>240517</v>
      </c>
      <c r="F8" s="10">
        <v>1413</v>
      </c>
      <c r="G8" s="10">
        <v>779</v>
      </c>
    </row>
    <row r="9" spans="1:8" ht="15" x14ac:dyDescent="0.25">
      <c r="A9" s="31">
        <v>2019</v>
      </c>
      <c r="B9" s="10">
        <v>2568189</v>
      </c>
      <c r="C9" s="10">
        <v>417043</v>
      </c>
      <c r="D9" s="10">
        <v>14891</v>
      </c>
      <c r="E9" s="10">
        <v>251708</v>
      </c>
      <c r="F9" s="10">
        <v>1712</v>
      </c>
      <c r="G9" s="10">
        <v>1198</v>
      </c>
    </row>
    <row r="10" spans="1:8" ht="15" x14ac:dyDescent="0.25">
      <c r="A10" s="31">
        <v>2018</v>
      </c>
      <c r="B10" s="10">
        <v>2640842</v>
      </c>
      <c r="C10" s="10">
        <v>409407</v>
      </c>
      <c r="D10" s="10">
        <v>15460</v>
      </c>
      <c r="E10" s="10">
        <v>280955</v>
      </c>
      <c r="F10" s="10">
        <v>1982</v>
      </c>
      <c r="G10" s="10">
        <v>1140</v>
      </c>
    </row>
    <row r="11" spans="1:8" ht="15" x14ac:dyDescent="0.25">
      <c r="A11" s="31">
        <v>2017</v>
      </c>
      <c r="B11" s="10">
        <v>2573461</v>
      </c>
      <c r="C11" s="10">
        <v>390996</v>
      </c>
      <c r="D11" s="10">
        <v>14399</v>
      </c>
      <c r="E11" s="10">
        <v>262396</v>
      </c>
      <c r="F11" s="10">
        <v>2134</v>
      </c>
      <c r="G11" s="10">
        <v>982</v>
      </c>
    </row>
    <row r="12" spans="1:8" ht="15" x14ac:dyDescent="0.25">
      <c r="A12" s="31">
        <v>2016</v>
      </c>
      <c r="B12" s="10">
        <v>2526661</v>
      </c>
      <c r="C12" s="10">
        <v>394932</v>
      </c>
      <c r="D12" s="10">
        <v>16256</v>
      </c>
      <c r="E12" s="10">
        <v>251448</v>
      </c>
      <c r="F12" s="10">
        <v>2488</v>
      </c>
      <c r="G12" s="10">
        <v>1138</v>
      </c>
    </row>
    <row r="13" spans="1:8" ht="15" x14ac:dyDescent="0.25">
      <c r="A13" s="31">
        <v>2015</v>
      </c>
      <c r="B13" s="10">
        <v>2554885</v>
      </c>
      <c r="C13" s="10">
        <v>406628</v>
      </c>
      <c r="D13" s="10">
        <v>21889</v>
      </c>
      <c r="E13" s="10">
        <v>256402</v>
      </c>
      <c r="F13" s="10">
        <v>2862</v>
      </c>
      <c r="G13" s="10">
        <v>1166</v>
      </c>
    </row>
    <row r="14" spans="1:8" ht="15" x14ac:dyDescent="0.25">
      <c r="A14" s="31">
        <v>2014</v>
      </c>
      <c r="B14" s="10">
        <v>2567911</v>
      </c>
      <c r="C14" s="10">
        <v>406088</v>
      </c>
      <c r="D14" s="10">
        <v>25739</v>
      </c>
      <c r="E14" s="10">
        <v>257808</v>
      </c>
      <c r="F14" s="10">
        <v>3646</v>
      </c>
      <c r="G14" s="10">
        <v>875</v>
      </c>
    </row>
    <row r="15" spans="1:8" ht="15" x14ac:dyDescent="0.25">
      <c r="A15" s="31">
        <v>2013</v>
      </c>
      <c r="B15" s="10">
        <v>2555848</v>
      </c>
      <c r="C15" s="10">
        <v>391347</v>
      </c>
      <c r="D15" s="10">
        <v>27091</v>
      </c>
      <c r="E15" s="10">
        <v>253097</v>
      </c>
      <c r="F15" s="10">
        <v>4012</v>
      </c>
      <c r="G15" s="10">
        <v>996</v>
      </c>
    </row>
    <row r="16" spans="1:8" ht="15" x14ac:dyDescent="0.25">
      <c r="A16" s="31">
        <v>2012</v>
      </c>
      <c r="B16" s="10">
        <v>2591862</v>
      </c>
      <c r="C16" s="10">
        <v>391826</v>
      </c>
      <c r="D16" s="10">
        <v>29133</v>
      </c>
      <c r="E16" s="10">
        <v>260521</v>
      </c>
      <c r="F16" s="10">
        <v>4359</v>
      </c>
      <c r="G16" s="10">
        <v>898</v>
      </c>
    </row>
    <row r="17" spans="1:9" ht="15" x14ac:dyDescent="0.25">
      <c r="A17" s="31">
        <v>2011</v>
      </c>
      <c r="B17" s="10">
        <v>2854837</v>
      </c>
      <c r="C17" s="10">
        <v>430061</v>
      </c>
      <c r="D17" s="10">
        <v>27188</v>
      </c>
      <c r="E17" s="10">
        <v>261993</v>
      </c>
      <c r="F17" s="10">
        <v>4507</v>
      </c>
      <c r="G17" s="10">
        <v>738</v>
      </c>
    </row>
    <row r="18" spans="1:9" ht="15" x14ac:dyDescent="0.25">
      <c r="A18" s="31">
        <v>2010</v>
      </c>
      <c r="B18" s="10">
        <v>2946689</v>
      </c>
      <c r="C18" s="10">
        <v>425664</v>
      </c>
      <c r="D18" s="10">
        <v>26655</v>
      </c>
      <c r="E18" s="10">
        <v>254909</v>
      </c>
      <c r="F18" s="10">
        <v>3969</v>
      </c>
      <c r="G18" s="10">
        <v>490</v>
      </c>
    </row>
    <row r="19" spans="1:9" ht="15" x14ac:dyDescent="0.25">
      <c r="A19" s="31">
        <v>2009</v>
      </c>
      <c r="B19" s="10">
        <v>2956412</v>
      </c>
      <c r="C19" s="10">
        <v>429526</v>
      </c>
      <c r="D19" s="10">
        <v>29425</v>
      </c>
      <c r="E19" s="10">
        <v>255072</v>
      </c>
      <c r="F19" s="10">
        <v>3814</v>
      </c>
      <c r="G19" s="10">
        <v>782</v>
      </c>
    </row>
    <row r="20" spans="1:9" ht="15" x14ac:dyDescent="0.25">
      <c r="A20" s="31">
        <v>2008</v>
      </c>
      <c r="B20" s="10">
        <v>3072441</v>
      </c>
      <c r="C20" s="10">
        <v>401597</v>
      </c>
      <c r="D20" s="10">
        <v>28661</v>
      </c>
      <c r="E20" s="10">
        <v>235031</v>
      </c>
      <c r="F20" s="10">
        <v>3496</v>
      </c>
      <c r="G20" s="10">
        <v>741</v>
      </c>
    </row>
    <row r="21" spans="1:9" ht="15" x14ac:dyDescent="0.25">
      <c r="A21" s="31">
        <v>2007</v>
      </c>
      <c r="B21" s="10">
        <v>3003777</v>
      </c>
      <c r="C21" s="10">
        <v>419408</v>
      </c>
      <c r="D21" s="10">
        <v>30124</v>
      </c>
      <c r="E21" s="10">
        <v>230975</v>
      </c>
      <c r="F21" s="10">
        <v>2995</v>
      </c>
      <c r="G21" s="10">
        <v>515</v>
      </c>
    </row>
    <row r="22" spans="1:9" ht="15" x14ac:dyDescent="0.25">
      <c r="A22" s="31">
        <v>2006</v>
      </c>
      <c r="B22" s="10">
        <v>3022036</v>
      </c>
      <c r="C22" s="10">
        <v>431679</v>
      </c>
      <c r="D22" s="10">
        <v>32425</v>
      </c>
      <c r="E22" s="10">
        <v>212854</v>
      </c>
      <c r="F22" s="10">
        <v>3021</v>
      </c>
      <c r="G22" s="10">
        <v>581</v>
      </c>
    </row>
    <row r="23" spans="1:9" ht="15" x14ac:dyDescent="0.25">
      <c r="A23" s="31">
        <v>2005</v>
      </c>
      <c r="B23" s="10">
        <v>3159941</v>
      </c>
      <c r="C23" s="10">
        <v>433044</v>
      </c>
      <c r="D23" s="10">
        <v>33036</v>
      </c>
      <c r="E23" s="10">
        <v>205983</v>
      </c>
      <c r="F23" s="10">
        <v>3521</v>
      </c>
      <c r="G23" s="10">
        <v>247</v>
      </c>
    </row>
    <row r="24" spans="1:9" ht="15" x14ac:dyDescent="0.25">
      <c r="A24" s="31">
        <v>2004</v>
      </c>
      <c r="B24" s="10">
        <v>3364833</v>
      </c>
      <c r="C24" s="10">
        <v>458016</v>
      </c>
      <c r="D24" s="10">
        <v>33868</v>
      </c>
      <c r="E24" s="10">
        <v>193241</v>
      </c>
      <c r="F24" s="10">
        <v>5042</v>
      </c>
      <c r="G24" s="10">
        <v>251</v>
      </c>
    </row>
    <row r="25" spans="1:9" ht="15" x14ac:dyDescent="0.25">
      <c r="A25" s="31">
        <v>2003</v>
      </c>
      <c r="B25" s="10">
        <v>3304939</v>
      </c>
      <c r="C25" s="10">
        <v>454222</v>
      </c>
      <c r="D25" s="10">
        <v>31536</v>
      </c>
      <c r="E25" s="10">
        <v>192432</v>
      </c>
      <c r="F25" s="10">
        <v>5349</v>
      </c>
      <c r="G25" s="10">
        <v>298</v>
      </c>
    </row>
    <row r="26" spans="1:9" ht="15" x14ac:dyDescent="0.25">
      <c r="A26" s="31">
        <v>2002</v>
      </c>
      <c r="B26" s="10">
        <v>3282338</v>
      </c>
      <c r="C26" s="10">
        <v>472928</v>
      </c>
      <c r="D26" s="10">
        <v>33831</v>
      </c>
      <c r="E26" s="10">
        <v>197278</v>
      </c>
      <c r="F26" s="10">
        <v>5454</v>
      </c>
      <c r="G26" s="10">
        <v>489</v>
      </c>
    </row>
    <row r="27" spans="1:9" ht="15" x14ac:dyDescent="0.25">
      <c r="A27" s="31">
        <v>2001</v>
      </c>
      <c r="B27" s="10">
        <v>3197296</v>
      </c>
      <c r="C27" s="10">
        <v>464032</v>
      </c>
      <c r="D27" s="10">
        <v>34290</v>
      </c>
      <c r="E27" s="10">
        <v>197343</v>
      </c>
      <c r="F27" s="10">
        <v>5173</v>
      </c>
      <c r="G27" s="10">
        <v>405</v>
      </c>
    </row>
    <row r="28" spans="1:9" ht="15.75" thickBot="1" x14ac:dyDescent="0.3">
      <c r="A28" s="32">
        <v>2000</v>
      </c>
      <c r="B28" s="33">
        <v>3256929</v>
      </c>
      <c r="C28" s="33">
        <v>490169</v>
      </c>
      <c r="D28" s="33">
        <v>39068</v>
      </c>
      <c r="E28" s="33">
        <v>203836</v>
      </c>
      <c r="F28" s="33">
        <v>5448</v>
      </c>
      <c r="G28" s="33">
        <v>391</v>
      </c>
    </row>
    <row r="30" spans="1:9" x14ac:dyDescent="0.2">
      <c r="B30" s="34"/>
      <c r="C30" s="34"/>
      <c r="D30" s="34"/>
      <c r="E30" s="34"/>
      <c r="F30" s="34"/>
      <c r="G30" s="34"/>
      <c r="H30" s="34"/>
      <c r="I30" s="3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Gris</vt:lpstr>
      <vt:lpstr>Kalv</vt:lpstr>
      <vt:lpstr>Storboskap</vt:lpstr>
      <vt:lpstr>Får och lamm</vt:lpstr>
      <vt:lpstr>Häst</vt:lpstr>
      <vt:lpstr>Årshistorik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Kvartalsstatistik för godkänd slakt kvartal 2 år 2026</dc:title>
  <dc:creator>Jordbruksverket</dc:creator>
  <cp:keywords>Storboskap, Kalv, Gris, Får och lamm, Häst, Årshistorik,</cp:keywords>
  <cp:lastModifiedBy>Arne Andersson</cp:lastModifiedBy>
  <dcterms:created xsi:type="dcterms:W3CDTF">2026-08-13T11:26:47Z</dcterms:created>
  <dcterms:modified xsi:type="dcterms:W3CDTF">2026-08-13T11:26:49Z</dcterms:modified>
</cp:coreProperties>
</file>