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Kontrollenheter\Kontrollområden\Köttklassning\Planering, uppföljning och statistik\Statistik\Kvartalsstatistik\2026\"/>
    </mc:Choice>
  </mc:AlternateContent>
  <xr:revisionPtr revIDLastSave="0" documentId="8_{DB243BF5-2364-4436-ABA3-CC22CA62D82B}" xr6:coauthVersionLast="47" xr6:coauthVersionMax="47" xr10:uidLastSave="{00000000-0000-0000-0000-000000000000}"/>
  <bookViews>
    <workbookView xWindow="-120" yWindow="-120" windowWidth="29040" windowHeight="15720" xr2:uid="{B8A8CE71-5F5E-47E8-A1AA-0E3C9810AC9B}"/>
  </bookViews>
  <sheets>
    <sheet name="Gris" sheetId="1" r:id="rId1"/>
    <sheet name="Kalv" sheetId="2" r:id="rId2"/>
    <sheet name="Storboskap" sheetId="3" r:id="rId3"/>
    <sheet name="Får och lamm" sheetId="4" r:id="rId4"/>
    <sheet name="Häst" sheetId="5" r:id="rId5"/>
    <sheet name="Årshistorik" sheetId="6" r:id="rId6"/>
  </sheets>
  <externalReferences>
    <externalReference r:id="rId7"/>
  </externalReferences>
  <definedNames>
    <definedName name="rngAvbugga">[1]Instruktion!$K$9</definedName>
    <definedName name="rngMedgivande">[1]Instruktion!$K$12</definedName>
    <definedName name="rngTidstämpel">[1]Instruktion!#REF!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2" i="5" l="1"/>
  <c r="O12" i="5"/>
  <c r="Q12" i="5" s="1"/>
  <c r="N12" i="5"/>
  <c r="M12" i="5"/>
  <c r="L12" i="5"/>
  <c r="K12" i="5"/>
  <c r="P12" i="5" s="1"/>
  <c r="J12" i="5"/>
  <c r="I12" i="5"/>
  <c r="H12" i="5"/>
  <c r="G12" i="5"/>
  <c r="F12" i="5"/>
  <c r="E12" i="5"/>
  <c r="D12" i="5"/>
  <c r="C12" i="5"/>
  <c r="B12" i="5"/>
  <c r="R29" i="4"/>
  <c r="O29" i="4"/>
  <c r="Q29" i="4" s="1"/>
  <c r="N29" i="4"/>
  <c r="M29" i="4"/>
  <c r="L29" i="4"/>
  <c r="K29" i="4"/>
  <c r="P29" i="4" s="1"/>
  <c r="J29" i="4"/>
  <c r="I29" i="4"/>
  <c r="H29" i="4"/>
  <c r="G29" i="4"/>
  <c r="F29" i="4"/>
  <c r="E29" i="4"/>
  <c r="D29" i="4"/>
  <c r="C29" i="4"/>
  <c r="B29" i="4"/>
  <c r="R29" i="3"/>
  <c r="O29" i="3"/>
  <c r="Q29" i="3" s="1"/>
  <c r="N29" i="3"/>
  <c r="M29" i="3"/>
  <c r="L29" i="3"/>
  <c r="K29" i="3"/>
  <c r="P29" i="3" s="1"/>
  <c r="J29" i="3"/>
  <c r="I29" i="3"/>
  <c r="H29" i="3"/>
  <c r="G29" i="3"/>
  <c r="F29" i="3"/>
  <c r="E29" i="3"/>
  <c r="D29" i="3"/>
  <c r="C29" i="3"/>
  <c r="B29" i="3"/>
  <c r="R24" i="2"/>
  <c r="O24" i="2"/>
  <c r="Q24" i="2" s="1"/>
  <c r="N24" i="2"/>
  <c r="M24" i="2"/>
  <c r="L24" i="2"/>
  <c r="K24" i="2"/>
  <c r="P24" i="2" s="1"/>
  <c r="J24" i="2"/>
  <c r="I24" i="2"/>
  <c r="H24" i="2"/>
  <c r="G24" i="2"/>
  <c r="F24" i="2"/>
  <c r="E24" i="2"/>
  <c r="D24" i="2"/>
  <c r="C24" i="2"/>
  <c r="B24" i="2"/>
  <c r="R19" i="1"/>
  <c r="O19" i="1"/>
  <c r="Q19" i="1" s="1"/>
  <c r="N19" i="1"/>
  <c r="M19" i="1"/>
  <c r="L19" i="1"/>
  <c r="K19" i="1"/>
  <c r="P19" i="1" s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<sst xmlns="http://schemas.openxmlformats.org/spreadsheetml/2006/main" count="232" uniqueCount="89">
  <si>
    <t>Antal slaktade grisar, uppdaterad kvartal 1 2026</t>
  </si>
  <si>
    <t>Anläggning</t>
  </si>
  <si>
    <t>2021</t>
  </si>
  <si>
    <t>2022</t>
  </si>
  <si>
    <t>2023</t>
  </si>
  <si>
    <t>2024</t>
  </si>
  <si>
    <t>Kvartal 1 2025</t>
  </si>
  <si>
    <t>Kvartal 2 2025</t>
  </si>
  <si>
    <t>Kvartal 3 2025</t>
  </si>
  <si>
    <t>Kvartal 4 2025</t>
  </si>
  <si>
    <t>2025</t>
  </si>
  <si>
    <t>Kvartal 1 2026</t>
  </si>
  <si>
    <t>Kvartal 2 2026</t>
  </si>
  <si>
    <t>Kvartal 3 2026</t>
  </si>
  <si>
    <t>Kvartal 4 2026</t>
  </si>
  <si>
    <t>2026</t>
  </si>
  <si>
    <t>Förändring kv 1 från 2025-2026</t>
  </si>
  <si>
    <t>Förändring kv 1-1 från 2025–2026</t>
  </si>
  <si>
    <t>Procentuell andel 2026*</t>
  </si>
  <si>
    <t>AB Ginsten Slakteri</t>
  </si>
  <si>
    <t>Alviksgården Lantbruks AB</t>
  </si>
  <si>
    <t>Brantestads Gårdsslakteri</t>
  </si>
  <si>
    <t>Dahlbergs Slakteri AB</t>
  </si>
  <si>
    <t>Ickholmens slakteri</t>
  </si>
  <si>
    <t>KLS Ugglarps AB Dalsjöfors</t>
  </si>
  <si>
    <t>KLS Ugglarps AB Kalmar</t>
  </si>
  <si>
    <t>KLS Ugglarps AB, Trelleborg</t>
  </si>
  <si>
    <t>Lindells Gårdsslakteri</t>
  </si>
  <si>
    <t>Lövsta Kött AB</t>
  </si>
  <si>
    <t>Protos AB</t>
  </si>
  <si>
    <t>Ragnar Johanssons Kött o Chark AB</t>
  </si>
  <si>
    <t>Roslagens Slakt och Chark AB</t>
  </si>
  <si>
    <t>Scan, Kristianstad</t>
  </si>
  <si>
    <t>Skövde Slakteri</t>
  </si>
  <si>
    <t>Övriga</t>
  </si>
  <si>
    <t>Total svensk slakt</t>
  </si>
  <si>
    <t>Tabellen visar 15 av de 33 slakterier som har slaktat grisar under 2026. Källa: Jordbruksverket</t>
  </si>
  <si>
    <t>Sammanställningen utgår från slakteriernas veckorapportering till Jordbruksverket och visar antal slaktade djur som godkänts som livsmedel</t>
  </si>
  <si>
    <t>Ingående kategorier: Samtliga djur av djurslaget svin inklusive suggor och galtar</t>
  </si>
  <si>
    <t>*Den procentuella andelen av slakten utgår från anläggning, inte företag. Det förekommer att slakteriföretag legoslaktar åt varandra.</t>
  </si>
  <si>
    <t>Antal slaktade kalvar, uppdaterad kvartal 1 2026</t>
  </si>
  <si>
    <t>Bassholma slakteri AB</t>
  </si>
  <si>
    <t>─</t>
  </si>
  <si>
    <t>Bjursunds Slakteri AB</t>
  </si>
  <si>
    <t>Bäsinge Slakteri AB</t>
  </si>
  <si>
    <t>–</t>
  </si>
  <si>
    <t>Delsbo Slakteri</t>
  </si>
  <si>
    <t>Ello i Lammhult AB</t>
  </si>
  <si>
    <t>Faringe Kött &amp; Slakt AB</t>
  </si>
  <si>
    <t>Jämtlandsgården Livsmedel AB</t>
  </si>
  <si>
    <t>-</t>
  </si>
  <si>
    <t>KLS Ugglarps AB, Hörby</t>
  </si>
  <si>
    <t>Norrbottensgården Slakteri AB</t>
  </si>
  <si>
    <t>Närkes Slakteri</t>
  </si>
  <si>
    <t>PP Slakt AB</t>
  </si>
  <si>
    <t>Skånska Vilt AB</t>
  </si>
  <si>
    <t>Varekils Slakteri AB</t>
  </si>
  <si>
    <t>Tabellen visar 20 av de 28 slakterier som har slaktat kalvar under 2026. Källa: Jordbruksverket</t>
  </si>
  <si>
    <t>Ingående kategorier: späd-, göd-, och mellankalv</t>
  </si>
  <si>
    <t>Antal slaktade storboskap, uppdaterad kvartal 1 2026</t>
  </si>
  <si>
    <t>Almunge Kött</t>
  </si>
  <si>
    <t>Mostorps Gård AB</t>
  </si>
  <si>
    <t>Nyhléns Hugosons AB - Ullånger</t>
  </si>
  <si>
    <t>Scan, Linköping</t>
  </si>
  <si>
    <t>Sörby Slakteri</t>
  </si>
  <si>
    <t>Tabellen visar 25 av de 55 slakterier som har slaktat storboskap under 2026. Källa: Jordbruksverket</t>
  </si>
  <si>
    <t>Ingående kategorier: Samtliga nötkreatur utom späd-, göd-, och mellankalv</t>
  </si>
  <si>
    <t>Antal slaktade får och lamm, uppdaterad kvartal 1 2026</t>
  </si>
  <si>
    <t>Appeltorps Lamm o Vilt</t>
  </si>
  <si>
    <t>Lindås Lamm</t>
  </si>
  <si>
    <t>Ljungskile Kött AB</t>
  </si>
  <si>
    <t>Skara Lammslakteri AB</t>
  </si>
  <si>
    <t>Sörgården Gårdsbutik&amp;slakteri</t>
  </si>
  <si>
    <t>Vikbolands Kött</t>
  </si>
  <si>
    <t>Västerslät</t>
  </si>
  <si>
    <t>Öströö Fårfarm AB</t>
  </si>
  <si>
    <t>Tabellen visar 25 av de 43 slakterier som har slaktat får och lamm under 2026. Källa: Jordbruksverket</t>
  </si>
  <si>
    <t>Ingående kategorier: Samtliga får och lamm</t>
  </si>
  <si>
    <t>Antal slaktade hästar, uppdaterad kvartal 1 2026</t>
  </si>
  <si>
    <t>Tabellen visar 8 av de 12 slakterier som har slaktat hästar under 2026. Källa: Jordbruksverket</t>
  </si>
  <si>
    <t>Ingående kategorier: Samtliga hästar</t>
  </si>
  <si>
    <t>Godkänd slakt, antal djur per år</t>
  </si>
  <si>
    <t>År</t>
  </si>
  <si>
    <t>Svin</t>
  </si>
  <si>
    <t>Storboskap</t>
  </si>
  <si>
    <t>Kalv</t>
  </si>
  <si>
    <t>Får</t>
  </si>
  <si>
    <t>Häst</t>
  </si>
  <si>
    <t>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</si>
</sst>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\+0%;\-0%"/>
    <numFmt numFmtId="166" formatCode="#,#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 wrapText="1"/>
    </xf>
    <xf numFmtId="164" fontId="3" fillId="0" borderId="0" xfId="1" applyNumberFormat="1" applyFont="1" applyFill="1" applyBorder="1" applyAlignment="1">
      <alignment horizontal="right" wrapText="1"/>
    </xf>
    <xf numFmtId="164" fontId="3" fillId="0" borderId="0" xfId="1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3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165" fontId="0" fillId="0" borderId="0" xfId="0" applyNumberFormat="1" applyAlignment="1">
      <alignment horizontal="right"/>
    </xf>
    <xf numFmtId="9" fontId="0" fillId="0" borderId="0" xfId="0" applyNumberFormat="1"/>
    <xf numFmtId="166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9" fontId="3" fillId="0" borderId="0" xfId="1" applyFont="1"/>
  </cellXfs>
  <cellStyles count="2">
    <cellStyle name="Normal" xfId="0" builtinId="0"/>
    <cellStyle name="Procent" xfId="1" builtinId="5"/>
  </cellStyles>
  <dxfs count="20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ill>
        <patternFill>
          <bgColor theme="9" tint="0.79998168889431442"/>
        </patternFill>
      </fill>
      <border diagonalUp="0" diagonalDown="0"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ont>
        <b/>
        <color theme="1"/>
      </font>
      <border>
        <right/>
      </border>
    </dxf>
    <dxf>
      <font>
        <b/>
        <color theme="1"/>
      </font>
    </dxf>
    <dxf>
      <font>
        <b/>
        <color theme="1"/>
      </font>
      <border>
        <left/>
        <right/>
        <top style="double">
          <color auto="1"/>
        </top>
        <bottom style="medium">
          <color auto="1"/>
        </bottom>
        <vertical/>
      </border>
    </dxf>
    <dxf>
      <font>
        <b/>
        <color theme="1"/>
      </font>
      <border>
        <left/>
        <right/>
        <top style="medium">
          <color auto="1"/>
        </top>
        <bottom style="medium">
          <color auto="1"/>
        </bottom>
        <vertical/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</dxfs>
  <tableStyles count="1" defaultTableStyle="TableStyleMedium2" defaultPivotStyle="PivotStyleLight16">
    <tableStyle name="Kvartalsstatistik" pivot="0" count="9" xr9:uid="{3358A205-4171-4EFE-A789-0A1E788EA185}">
      <tableStyleElement type="wholeTable" dxfId="200"/>
      <tableStyleElement type="headerRow" dxfId="199"/>
      <tableStyleElement type="totalRow" dxfId="198"/>
      <tableStyleElement type="firstColumn" dxfId="197"/>
      <tableStyleElement type="lastColumn" dxfId="196"/>
      <tableStyleElement type="firstRowStripe" dxfId="195"/>
      <tableStyleElement type="secondRowStripe" dxfId="194"/>
      <tableStyleElement type="firstColumnStripe" dxfId="193"/>
      <tableStyleElement type="secondColumnStripe" dxfId="1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het\Kontrollenheter\Kontrollomr&#229;den\K&#246;ttklassning\Planering,%20uppf&#246;ljning%20och%20statistik\Statistik\Kvartalsstatistik\2026\Kvartalsstatistik%202026.xlsm" TargetMode="External"/><Relationship Id="rId1" Type="http://schemas.openxmlformats.org/officeDocument/2006/relationships/externalLinkPath" Target="Kvartalsstatistik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DAWA-underlag"/>
      <sheetName val="Urval"/>
      <sheetName val="Äldre underlag"/>
      <sheetName val="Gris"/>
      <sheetName val="Kalv"/>
      <sheetName val="Storboskap"/>
      <sheetName val="Får och lamm"/>
      <sheetName val="Get"/>
      <sheetName val="Häst"/>
      <sheetName val="Årshistorik"/>
      <sheetName val="Diagram"/>
    </sheetNames>
    <sheetDataSet>
      <sheetData sheetId="0">
        <row r="9">
          <cell r="K9" t="b">
            <v>0</v>
          </cell>
        </row>
        <row r="12">
          <cell r="K12" t="str">
            <v>Medger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671703-35E5-4472-B339-B5F6CA7B4FFB}" name="Tabell_Gris" displayName="Tabell_Gris" ref="A2:R19" totalsRowCount="1">
  <autoFilter ref="A2:R1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B1F5A293-3C30-42A9-9081-4F99561CF325}" name="Anläggning" totalsRowLabel="Total svensk slakt" dataDxfId="191"/>
    <tableColumn id="19" xr3:uid="{6944F87C-5D0A-41CE-BE24-361AFF46F138}" name="2021" totalsRowFunction="sum" dataDxfId="189" totalsRowDxfId="190"/>
    <tableColumn id="20" xr3:uid="{5FCA2C6D-263A-4F23-A2C8-0021A232E8A5}" name="2022" totalsRowFunction="sum" dataDxfId="187" totalsRowDxfId="188"/>
    <tableColumn id="21" xr3:uid="{59DBC98D-83D7-45AD-9775-C143731E0FA8}" name="2023" totalsRowFunction="sum" dataDxfId="185" totalsRowDxfId="186"/>
    <tableColumn id="22" xr3:uid="{0F3D1053-1350-4657-BABB-7FFD8723F675}" name="2024" totalsRowFunction="sum" dataDxfId="183" totalsRowDxfId="184"/>
    <tableColumn id="2" xr3:uid="{419932E5-0715-4C51-AE7C-E0E775501BF0}" name="Kvartal 1 2025" totalsRowFunction="sum" dataDxfId="181" totalsRowDxfId="182"/>
    <tableColumn id="3" xr3:uid="{BDAA29A2-3EF7-4910-860B-4C069EA7191A}" name="Kvartal 2 2025" totalsRowFunction="sum" dataDxfId="179" totalsRowDxfId="180"/>
    <tableColumn id="4" xr3:uid="{EEEAD7C3-ECEF-4F64-85A4-4A6EBF91F05F}" name="Kvartal 3 2025" totalsRowFunction="sum" dataDxfId="177" totalsRowDxfId="178"/>
    <tableColumn id="5" xr3:uid="{A4E15147-F1F7-4823-9B97-8C6A4BF4D1E8}" name="Kvartal 4 2025" totalsRowFunction="sum" dataDxfId="175" totalsRowDxfId="176"/>
    <tableColumn id="6" xr3:uid="{4CE9D454-E14D-4BB6-9967-7287043D5149}" name="2025" totalsRowFunction="sum" dataDxfId="173" totalsRowDxfId="174"/>
    <tableColumn id="7" xr3:uid="{C9271583-8A9C-48A8-BA04-AAFA5FDC9AF2}" name="Kvartal 1 2026" totalsRowFunction="sum" dataDxfId="171" totalsRowDxfId="172"/>
    <tableColumn id="8" xr3:uid="{8DA9B815-FA12-4BBA-8F68-E15C041D056B}" name="Kvartal 2 2026" totalsRowFunction="sum" dataDxfId="169" totalsRowDxfId="170"/>
    <tableColumn id="9" xr3:uid="{41BD8E09-4B89-41A1-BB68-CC9D59F2E7D2}" name="Kvartal 3 2026" totalsRowFunction="sum" dataDxfId="167" totalsRowDxfId="168"/>
    <tableColumn id="10" xr3:uid="{5800462C-F224-4BF2-B5C6-49421B3B4AF5}" name="Kvartal 4 2026" totalsRowFunction="sum" dataDxfId="165" totalsRowDxfId="166"/>
    <tableColumn id="11" xr3:uid="{07EFEC42-FFE3-4BDA-8B53-7DDB8BB1D00A}" name="2026" totalsRowFunction="sum" dataDxfId="163" totalsRowDxfId="164"/>
    <tableColumn id="12" xr3:uid="{1F380C94-692C-4446-8CF2-8CC43FFFED84}" name="Förändring kv 1 från 2025-2026" totalsRowFunction="custom" dataDxfId="161" totalsRowDxfId="162">
      <totalsRowFormula>K19/F19-1</totalsRowFormula>
    </tableColumn>
    <tableColumn id="13" xr3:uid="{2C9EE034-04B8-4BED-978D-3C0BE4EB1A94}" name="Förändring kv 1-1 från 2025–2026" totalsRowFunction="custom" dataDxfId="159" totalsRowDxfId="160">
      <totalsRowFormula>O19/SUM(F19:F19)-1</totalsRowFormula>
    </tableColumn>
    <tableColumn id="14" xr3:uid="{656831D7-2082-497A-B2B2-1F25EC6676FE}" name="Procentuell andel 2026*" totalsRowFunction="sum" dataDxfId="157" totalsRowDxfId="158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grisar" altTextSummary="Tabellen visar de större slakterierna kvartalsvis i år och förra året samt årsvis ytterligare fyra år tillbak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6C6473-077A-4052-BF10-5F1C622EF0B4}" name="Tabell_Kalv" displayName="Tabell_Kalv" ref="A2:R24" totalsRowCount="1" headerRowDxfId="156" dataDxfId="155" totalsRowDxfId="154">
  <autoFilter ref="A2:R2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24374459-A721-4F40-A770-C897EE7AAD5A}" name="Anläggning" totalsRowLabel="Total svensk slakt" dataDxfId="153"/>
    <tableColumn id="19" xr3:uid="{B36E12E0-CCA5-4A26-B561-3218EACE34BE}" name="2021" totalsRowFunction="sum" dataDxfId="151" totalsRowDxfId="152"/>
    <tableColumn id="20" xr3:uid="{512A9C76-B4D2-46EE-B1CD-CAD6DED322EE}" name="2022" totalsRowFunction="sum" dataDxfId="149" totalsRowDxfId="150"/>
    <tableColumn id="21" xr3:uid="{249B3CA6-95EC-43F7-8151-7337D6C41063}" name="2023" totalsRowFunction="sum" dataDxfId="147" totalsRowDxfId="148"/>
    <tableColumn id="22" xr3:uid="{70DB4B61-2898-48B6-ABFC-AB02CF99D15E}" name="2024" totalsRowFunction="sum" dataDxfId="145" totalsRowDxfId="146"/>
    <tableColumn id="2" xr3:uid="{89F73F94-0F60-4B55-A8C3-D1AB74119D77}" name="Kvartal 1 2025" totalsRowFunction="sum" dataDxfId="143" totalsRowDxfId="144"/>
    <tableColumn id="3" xr3:uid="{CD96BD99-1E01-49A6-BC79-D021DE9327D2}" name="Kvartal 2 2025" totalsRowFunction="sum" dataDxfId="141" totalsRowDxfId="142"/>
    <tableColumn id="4" xr3:uid="{CC010FC6-D2E7-4E19-BEC0-CA2C8899FBBE}" name="Kvartal 3 2025" totalsRowFunction="sum" dataDxfId="139" totalsRowDxfId="140"/>
    <tableColumn id="5" xr3:uid="{1EE8F426-1467-4C20-8A57-244C583B0857}" name="Kvartal 4 2025" totalsRowFunction="sum" dataDxfId="137" totalsRowDxfId="138"/>
    <tableColumn id="6" xr3:uid="{953A60D6-C94D-406D-A72B-747CD40A7185}" name="2025" totalsRowFunction="sum" dataDxfId="135" totalsRowDxfId="136"/>
    <tableColumn id="7" xr3:uid="{22FB55C7-E2E3-42BE-9EF8-38304F8DBCC0}" name="Kvartal 1 2026" totalsRowFunction="sum" dataDxfId="133" totalsRowDxfId="134"/>
    <tableColumn id="8" xr3:uid="{434E9805-B4D5-4DF9-8A95-60A103205489}" name="Kvartal 2 2026" totalsRowFunction="sum" dataDxfId="131" totalsRowDxfId="132"/>
    <tableColumn id="9" xr3:uid="{3CF2DF51-31C3-4302-A937-D9D4FF2C7D89}" name="Kvartal 3 2026" totalsRowFunction="sum" dataDxfId="129" totalsRowDxfId="130"/>
    <tableColumn id="10" xr3:uid="{913B5A4B-C06D-4F3E-844C-84649FE4FEE0}" name="Kvartal 4 2026" totalsRowFunction="sum" dataDxfId="127" totalsRowDxfId="128"/>
    <tableColumn id="11" xr3:uid="{8744EB87-51FB-4052-B5E8-34587674571E}" name="2026" totalsRowFunction="sum" dataDxfId="125" totalsRowDxfId="126"/>
    <tableColumn id="12" xr3:uid="{9F25B9F0-48C9-495B-8419-A324E732709F}" name="Förändring kv 1 från 2025-2026" totalsRowFunction="custom" dataDxfId="123" totalsRowDxfId="124">
      <totalsRowFormula>K24/F24-1</totalsRowFormula>
    </tableColumn>
    <tableColumn id="13" xr3:uid="{ADFBD08C-DB65-4BB3-8A09-FEA1492427F2}" name="Förändring kv 1-1 från 2025–2026" totalsRowFunction="custom" dataDxfId="121" totalsRowDxfId="122">
      <totalsRowFormula>O24/SUM(F24:F24)-1</totalsRowFormula>
    </tableColumn>
    <tableColumn id="14" xr3:uid="{A9337EC9-CBB1-4591-AABF-9C8872A86E5D}" name="Procentuell andel 2026*" totalsRowFunction="sum" dataDxfId="119" totalsRowDxfId="120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kalvar" altTextSummary="Tabellen visar de större slakterierna kvartalsvis i år och förra året samt årsvis ytterligare fyra år tillbak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D11728-2E26-4EED-960A-8AB0A5C6EC20}" name="Tabell_Storb" displayName="Tabell_Storb" ref="A2:R29" totalsRowCount="1" headerRowDxfId="118" totalsRowDxfId="117">
  <autoFilter ref="A2:R2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C799CFE-D080-46E8-8D17-9C4989D153F8}" name="Anläggning" totalsRowLabel="Total svensk slakt" dataDxfId="116"/>
    <tableColumn id="19" xr3:uid="{7D64787F-664A-4DD5-8F2D-ABF124EA40CE}" name="2021" totalsRowFunction="sum" dataDxfId="114" totalsRowDxfId="115"/>
    <tableColumn id="20" xr3:uid="{34B1E6DF-7D9C-419E-A47D-B44C0F7614D5}" name="2022" totalsRowFunction="sum" dataDxfId="112" totalsRowDxfId="113"/>
    <tableColumn id="21" xr3:uid="{1D33799C-7447-42EA-87C5-A9B0748D0D2C}" name="2023" totalsRowFunction="sum" dataDxfId="110" totalsRowDxfId="111"/>
    <tableColumn id="22" xr3:uid="{E7216AA9-0452-4B78-8104-BD36A960EB05}" name="2024" totalsRowFunction="sum" dataDxfId="108" totalsRowDxfId="109"/>
    <tableColumn id="2" xr3:uid="{59E0F034-CFE3-4312-A784-9FEA3C4F1204}" name="Kvartal 1 2025" totalsRowFunction="sum" dataDxfId="106" totalsRowDxfId="107"/>
    <tableColumn id="3" xr3:uid="{22FE1D79-13B5-489D-B3DD-862B15614B0E}" name="Kvartal 2 2025" totalsRowFunction="sum" dataDxfId="104" totalsRowDxfId="105"/>
    <tableColumn id="4" xr3:uid="{5AA01FCA-CFB0-4DE0-8346-114EE8F188C6}" name="Kvartal 3 2025" totalsRowFunction="sum" dataDxfId="102" totalsRowDxfId="103"/>
    <tableColumn id="5" xr3:uid="{1897DCFB-0B97-4A13-8458-F4CB44789C87}" name="Kvartal 4 2025" totalsRowFunction="sum" dataDxfId="100" totalsRowDxfId="101"/>
    <tableColumn id="6" xr3:uid="{D6939F33-6211-4232-A3B3-35BB290552FD}" name="2025" totalsRowFunction="sum" dataDxfId="98" totalsRowDxfId="99"/>
    <tableColumn id="7" xr3:uid="{E3112C22-9E49-47FF-AC3A-54330B064E1D}" name="Kvartal 1 2026" totalsRowFunction="sum" dataDxfId="96" totalsRowDxfId="97"/>
    <tableColumn id="8" xr3:uid="{434D220D-4414-456F-86F5-ED385D4EBDD3}" name="Kvartal 2 2026" totalsRowFunction="sum" dataDxfId="94" totalsRowDxfId="95"/>
    <tableColumn id="9" xr3:uid="{72709959-E9BD-4B54-AF2C-D943BFC5442E}" name="Kvartal 3 2026" totalsRowFunction="sum" dataDxfId="92" totalsRowDxfId="93"/>
    <tableColumn id="10" xr3:uid="{352C2A3F-8ED2-401B-AC62-1A9C889DD93A}" name="Kvartal 4 2026" totalsRowFunction="sum" dataDxfId="90" totalsRowDxfId="91"/>
    <tableColumn id="11" xr3:uid="{EB7E3058-69A2-4218-8999-0E9DFD55896D}" name="2026" totalsRowFunction="sum" dataDxfId="88" totalsRowDxfId="89"/>
    <tableColumn id="12" xr3:uid="{DFFCB6D1-C29E-43FE-B7FD-42FE9197B87C}" name="Förändring kv 1 från 2025-2026" totalsRowFunction="custom" dataDxfId="86" totalsRowDxfId="87">
      <totalsRowFormula>K29/F29-1</totalsRowFormula>
    </tableColumn>
    <tableColumn id="13" xr3:uid="{15619A3D-9F71-4B9D-9D72-0774B3E134D8}" name="Förändring kv 1-1 från 2025–2026" totalsRowFunction="custom" dataDxfId="84" totalsRowDxfId="85">
      <totalsRowFormula>O29/SUM(F29:F29)-1</totalsRowFormula>
    </tableColumn>
    <tableColumn id="14" xr3:uid="{96B0195B-46C0-4B51-A44A-3AF2BFE5D9FA}" name="Procentuell andel 2026*" totalsRowFunction="sum" dataDxfId="82" totalsRowDxfId="83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et slaktade storboskap" altTextSummary="Tabellen visar de större slakterierna kvartalsvis i år och förra året samt årsvis ytterligare fyra år tillbak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0D1D35-632A-4CFD-9C13-54561BEFBFEF}" name="Tabell_Får" displayName="Tabell_Får" ref="A2:R29" totalsRowCount="1" headerRowDxfId="81" totalsRowDxfId="80">
  <autoFilter ref="A2:R2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61BFC9A1-F404-47A3-B134-88DEDC4D0FE6}" name="Anläggning" totalsRowLabel="Total svensk slakt" dataDxfId="79"/>
    <tableColumn id="19" xr3:uid="{C0CEC32F-27F1-4781-89FD-21036449B8B0}" name="2021" totalsRowFunction="sum" dataDxfId="77" totalsRowDxfId="78"/>
    <tableColumn id="20" xr3:uid="{04DF695D-D44E-4FE2-B77C-4D4991A0E4E5}" name="2022" totalsRowFunction="sum" dataDxfId="75" totalsRowDxfId="76"/>
    <tableColumn id="21" xr3:uid="{0FB311FD-EB23-4E3C-BAD8-E6C8E6E3AF82}" name="2023" totalsRowFunction="sum" dataDxfId="73" totalsRowDxfId="74"/>
    <tableColumn id="22" xr3:uid="{FE540C9B-E6B5-46E2-A618-777E171A517A}" name="2024" totalsRowFunction="sum" dataDxfId="71" totalsRowDxfId="72"/>
    <tableColumn id="2" xr3:uid="{D7672735-DBDB-49F7-918A-BEFD4A7BCE86}" name="Kvartal 1 2025" totalsRowFunction="sum" dataDxfId="69" totalsRowDxfId="70"/>
    <tableColumn id="3" xr3:uid="{2732E1C2-7A2C-4564-BA26-A3BD062F91D0}" name="Kvartal 2 2025" totalsRowFunction="sum" dataDxfId="67" totalsRowDxfId="68"/>
    <tableColumn id="4" xr3:uid="{B2261B51-586B-42CA-96BC-D13AAE50427E}" name="Kvartal 3 2025" totalsRowFunction="sum" dataDxfId="65" totalsRowDxfId="66"/>
    <tableColumn id="5" xr3:uid="{E615216B-A342-4329-9FD1-E0A165DBD995}" name="Kvartal 4 2025" totalsRowFunction="sum" dataDxfId="63" totalsRowDxfId="64"/>
    <tableColumn id="6" xr3:uid="{C5841BA0-99A0-4EAE-9FD5-115599CD74AE}" name="2025" totalsRowFunction="sum" dataDxfId="61" totalsRowDxfId="62"/>
    <tableColumn id="7" xr3:uid="{92260685-4CEA-4BF9-A88A-2DA379AC8BFE}" name="Kvartal 1 2026" totalsRowFunction="sum" dataDxfId="59" totalsRowDxfId="60"/>
    <tableColumn id="8" xr3:uid="{6F4E9A6D-704A-4721-BB54-198DB6810FB9}" name="Kvartal 2 2026" totalsRowFunction="sum" dataDxfId="57" totalsRowDxfId="58"/>
    <tableColumn id="9" xr3:uid="{3601B81F-8934-474D-9C7E-1B76E33EC616}" name="Kvartal 3 2026" totalsRowFunction="sum" dataDxfId="55" totalsRowDxfId="56"/>
    <tableColumn id="10" xr3:uid="{88F5CB1D-B4D1-46EC-8B37-A982844F01B1}" name="Kvartal 4 2026" totalsRowFunction="sum" dataDxfId="53" totalsRowDxfId="54"/>
    <tableColumn id="11" xr3:uid="{F56A2D2E-97CD-43EE-89FA-0A710146CAD3}" name="2026" totalsRowFunction="sum" dataDxfId="51" totalsRowDxfId="52"/>
    <tableColumn id="12" xr3:uid="{CC01FF1B-C468-4329-926B-0C0AC426E687}" name="Förändring kv 1 från 2025-2026" totalsRowFunction="custom" dataDxfId="49" totalsRowDxfId="50">
      <totalsRowFormula>K29/F29-1</totalsRowFormula>
    </tableColumn>
    <tableColumn id="13" xr3:uid="{615FA702-CA60-44AC-9AC5-2647C250EB15}" name="Förändring kv 1-1 från 2025–2026" totalsRowFunction="custom" dataDxfId="47" totalsRowDxfId="48">
      <totalsRowFormula>O29/SUM(F29:F29)-1</totalsRowFormula>
    </tableColumn>
    <tableColumn id="14" xr3:uid="{91BF7724-2C34-429A-AAB2-8198977FD451}" name="Procentuell andel 2026*" totalsRowFunction="sum" dataDxfId="45" totalsRowDxfId="46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15AFB7-552F-4A21-892F-580351D0D2FA}" name="Tabell_Häst" displayName="Tabell_Häst" ref="A2:R12" totalsRowCount="1" headerRowDxfId="44" dataDxfId="43" totalsRowDxfId="42">
  <autoFilter ref="A2:R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29A45DE4-CDAA-45FC-91D4-C47223B9586E}" name="Anläggning" totalsRowLabel="Total svensk slakt" dataDxfId="41"/>
    <tableColumn id="19" xr3:uid="{AF1EF2B2-714B-422C-A334-64723720A317}" name="2021" totalsRowFunction="sum" dataDxfId="39" totalsRowDxfId="40"/>
    <tableColumn id="20" xr3:uid="{8DA47C76-6780-46F2-B84C-DED983541315}" name="2022" totalsRowFunction="sum" dataDxfId="37" totalsRowDxfId="38"/>
    <tableColumn id="21" xr3:uid="{AFE58CCA-BB7E-442F-BDBA-D9CD936F71A8}" name="2023" totalsRowFunction="sum" dataDxfId="35" totalsRowDxfId="36"/>
    <tableColumn id="22" xr3:uid="{D3A6E9EC-9BBC-40EB-AA75-A366EDE84676}" name="2024" totalsRowFunction="sum" dataDxfId="33" totalsRowDxfId="34"/>
    <tableColumn id="2" xr3:uid="{09F5E6BC-25D5-4A99-9A28-F6625EF5244F}" name="Kvartal 1 2025" totalsRowFunction="sum" dataDxfId="31" totalsRowDxfId="32"/>
    <tableColumn id="3" xr3:uid="{4477D757-0C31-4243-B700-9B7DA5E39554}" name="Kvartal 2 2025" totalsRowFunction="sum" dataDxfId="29" totalsRowDxfId="30"/>
    <tableColumn id="4" xr3:uid="{F5CD5ECF-F037-4B42-9698-61E9C20C969A}" name="Kvartal 3 2025" totalsRowFunction="sum" dataDxfId="27" totalsRowDxfId="28"/>
    <tableColumn id="5" xr3:uid="{752B9A0C-CCC5-4D21-AC2C-92DBDFA9AFCC}" name="Kvartal 4 2025" totalsRowFunction="sum" dataDxfId="25" totalsRowDxfId="26"/>
    <tableColumn id="6" xr3:uid="{96FE0EBD-5B22-4C79-8BDC-A33720F52A91}" name="2025" totalsRowFunction="sum" dataDxfId="23" totalsRowDxfId="24"/>
    <tableColumn id="7" xr3:uid="{A6FE3842-031E-4C60-8AC3-E06AFE9861A3}" name="Kvartal 1 2026" totalsRowFunction="sum" dataDxfId="21" totalsRowDxfId="22"/>
    <tableColumn id="8" xr3:uid="{F65E5AF6-FB07-4DF7-B85B-732E4BFF4D84}" name="Kvartal 2 2026" totalsRowFunction="sum" dataDxfId="19" totalsRowDxfId="20"/>
    <tableColumn id="9" xr3:uid="{25A9BA92-6907-40BF-BAE1-99D18CD89099}" name="Kvartal 3 2026" totalsRowFunction="sum" dataDxfId="17" totalsRowDxfId="18"/>
    <tableColumn id="10" xr3:uid="{13D74755-8B3C-485A-B1D1-CE8CCB44D8D6}" name="Kvartal 4 2026" totalsRowFunction="sum" dataDxfId="15" totalsRowDxfId="16"/>
    <tableColumn id="11" xr3:uid="{65A93F44-EBB2-416F-9A17-41B320778CC6}" name="2026" totalsRowFunction="sum" dataDxfId="13" totalsRowDxfId="14"/>
    <tableColumn id="12" xr3:uid="{733D3C1F-F5F4-436A-AE9D-663C0FB27024}" name="Förändring kv 1 från 2025-2026" totalsRowFunction="custom" dataDxfId="11" totalsRowDxfId="12">
      <totalsRowFormula>K12/F12-1</totalsRowFormula>
    </tableColumn>
    <tableColumn id="13" xr3:uid="{4D9A4C80-E377-48E8-ADEF-00048D5412BC}" name="Förändring kv 1-1 från 2025–2026" totalsRowFunction="custom" dataDxfId="9" totalsRowDxfId="10">
      <totalsRowFormula>O12/SUM(F12:F12)-1</totalsRowFormula>
    </tableColumn>
    <tableColumn id="14" xr3:uid="{DE6FE1FF-E815-4CBD-A473-BB179EBD0255}" name="Procentuell andel 2026*" totalsRowFunction="sum" dataDxfId="7" totalsRowDxfId="8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1A76FB-3ACE-4027-9F60-DE36CF3E0B94}" name="Tabell_Årshistorik" displayName="Tabell_Årshistorik" ref="A2:G28" totalsRowShown="0">
  <autoFilter ref="A2:G28" xr:uid="{D4AD92F7-E702-42E6-963F-C7916247EA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A3:F18">
    <sortCondition descending="1" ref="A7"/>
  </sortState>
  <tableColumns count="7">
    <tableColumn id="1" xr3:uid="{FAE65C93-2EBD-46C6-BBDF-A32B441E9781}" name="År" dataDxfId="6"/>
    <tableColumn id="2" xr3:uid="{8F61A247-FC63-43A3-ADF7-14D483517869}" name="Svin" dataDxfId="5"/>
    <tableColumn id="3" xr3:uid="{C9D3C51A-0BE6-45E1-BD8A-F4EDB0298611}" name="Storboskap" dataDxfId="4"/>
    <tableColumn id="4" xr3:uid="{9A8C2A64-5C55-4030-A6A3-4A9B23A87A07}" name="Kalv" dataDxfId="3"/>
    <tableColumn id="5" xr3:uid="{8FB7A2F2-82B7-4B90-A0F1-2B501D186B55}" name="Får" dataDxfId="2"/>
    <tableColumn id="7" xr3:uid="{85A6C400-CDEB-4A3D-BD47-EFF1AFE54101}" name="Häst" dataDxfId="1"/>
    <tableColumn id="6" xr3:uid="{63EED4BD-1DC9-4351-B7C6-8DDF0F5A5A6C}" name="Get" dataDxfId="0"/>
  </tableColumns>
  <tableStyleInfo name="Kvartalsstatistik" showFirstColumn="1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FF7B-22E2-40BC-9F98-BAA0C91AE52F}">
  <sheetPr codeName="flSvin">
    <pageSetUpPr fitToPage="1"/>
  </sheetPr>
  <dimension ref="A1:S60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7" customWidth="1"/>
    <col min="2" max="2" width="8.85546875" bestFit="1" customWidth="1"/>
    <col min="3" max="3" width="9.42578125" customWidth="1"/>
    <col min="4" max="4" width="9.28515625" customWidth="1"/>
    <col min="5" max="5" width="9.140625" customWidth="1"/>
    <col min="6" max="9" width="8.28515625" customWidth="1"/>
    <col min="10" max="10" width="8.7109375" customWidth="1"/>
    <col min="11" max="14" width="8.28515625" customWidth="1"/>
    <col min="15" max="15" width="9.140625" customWidth="1"/>
    <col min="16" max="16" width="10.7109375" customWidth="1"/>
    <col min="17" max="17" width="11.28515625" customWidth="1"/>
    <col min="18" max="18" width="11.5703125" customWidth="1"/>
  </cols>
  <sheetData>
    <row r="1" spans="1:19" ht="92.25" customHeight="1" x14ac:dyDescent="0.25">
      <c r="A1" s="1" t="s">
        <v>0</v>
      </c>
      <c r="J1" s="1"/>
      <c r="R1" s="2"/>
    </row>
    <row r="2" spans="1:19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  <c r="S2" s="8"/>
    </row>
    <row r="3" spans="1:19" ht="15" customHeight="1" x14ac:dyDescent="0.25">
      <c r="A3" t="s">
        <v>19</v>
      </c>
      <c r="B3" s="9">
        <v>75524</v>
      </c>
      <c r="C3" s="9">
        <v>67029</v>
      </c>
      <c r="D3" s="9">
        <v>52236</v>
      </c>
      <c r="E3" s="9">
        <v>50037</v>
      </c>
      <c r="F3" s="10">
        <v>12581</v>
      </c>
      <c r="G3" s="10">
        <v>11267</v>
      </c>
      <c r="H3" s="10">
        <v>11197</v>
      </c>
      <c r="I3" s="10">
        <v>12266</v>
      </c>
      <c r="J3" s="9">
        <v>47311</v>
      </c>
      <c r="K3" s="11">
        <v>12409</v>
      </c>
      <c r="L3" s="11"/>
      <c r="M3" s="11"/>
      <c r="N3" s="11"/>
      <c r="O3" s="9">
        <v>12409</v>
      </c>
      <c r="P3" s="12">
        <v>-1.3671409267943746E-2</v>
      </c>
      <c r="Q3" s="12">
        <v>-1.3671409267943746E-2</v>
      </c>
      <c r="R3" s="13">
        <v>1.8268140798209844E-2</v>
      </c>
      <c r="S3" s="14"/>
    </row>
    <row r="4" spans="1:19" ht="15" customHeight="1" x14ac:dyDescent="0.25">
      <c r="A4" t="s">
        <v>20</v>
      </c>
      <c r="B4" s="9">
        <v>52910</v>
      </c>
      <c r="C4" s="9">
        <v>51544</v>
      </c>
      <c r="D4" s="9">
        <v>51504</v>
      </c>
      <c r="E4" s="9">
        <v>50636</v>
      </c>
      <c r="F4" s="10">
        <v>12988</v>
      </c>
      <c r="G4" s="10">
        <v>11983</v>
      </c>
      <c r="H4" s="10">
        <v>12283</v>
      </c>
      <c r="I4" s="10">
        <v>11958</v>
      </c>
      <c r="J4" s="9">
        <v>49212</v>
      </c>
      <c r="K4" s="11">
        <v>12860</v>
      </c>
      <c r="L4" s="11"/>
      <c r="M4" s="11"/>
      <c r="N4" s="11"/>
      <c r="O4" s="9">
        <v>12860</v>
      </c>
      <c r="P4" s="12">
        <v>-9.8552510009238814E-3</v>
      </c>
      <c r="Q4" s="12">
        <v>-9.8552510009238814E-3</v>
      </c>
      <c r="R4" s="13">
        <v>1.8932088860099814E-2</v>
      </c>
    </row>
    <row r="5" spans="1:19" ht="15" customHeight="1" x14ac:dyDescent="0.25">
      <c r="A5" t="s">
        <v>21</v>
      </c>
      <c r="B5" s="9">
        <v>2179</v>
      </c>
      <c r="C5" s="9">
        <v>2226</v>
      </c>
      <c r="D5" s="9">
        <v>1630</v>
      </c>
      <c r="E5" s="9">
        <v>1893</v>
      </c>
      <c r="F5" s="10">
        <v>443</v>
      </c>
      <c r="G5" s="10">
        <v>487</v>
      </c>
      <c r="H5" s="10">
        <v>460</v>
      </c>
      <c r="I5" s="10">
        <v>554</v>
      </c>
      <c r="J5" s="9">
        <v>1944</v>
      </c>
      <c r="K5" s="11">
        <v>450</v>
      </c>
      <c r="L5" s="11"/>
      <c r="M5" s="11"/>
      <c r="N5" s="11"/>
      <c r="O5" s="9">
        <v>450</v>
      </c>
      <c r="P5" s="12">
        <v>1.5801354401805856E-2</v>
      </c>
      <c r="Q5" s="12">
        <v>1.5801354401805856E-2</v>
      </c>
      <c r="R5" s="13">
        <v>6.6247589323832937E-4</v>
      </c>
    </row>
    <row r="6" spans="1:19" ht="15" customHeight="1" x14ac:dyDescent="0.25">
      <c r="A6" t="s">
        <v>22</v>
      </c>
      <c r="B6" s="9">
        <v>204679</v>
      </c>
      <c r="C6" s="9">
        <v>210698</v>
      </c>
      <c r="D6" s="9">
        <v>208268</v>
      </c>
      <c r="E6" s="9">
        <v>213722</v>
      </c>
      <c r="F6" s="10">
        <v>54523</v>
      </c>
      <c r="G6" s="10">
        <v>51330</v>
      </c>
      <c r="H6" s="10">
        <v>57767</v>
      </c>
      <c r="I6" s="10">
        <v>58228</v>
      </c>
      <c r="J6" s="9">
        <v>221848</v>
      </c>
      <c r="K6" s="11">
        <v>60861</v>
      </c>
      <c r="L6" s="11"/>
      <c r="M6" s="11"/>
      <c r="N6" s="11"/>
      <c r="O6" s="9">
        <v>60861</v>
      </c>
      <c r="P6" s="12">
        <v>0.11624452066100543</v>
      </c>
      <c r="Q6" s="12">
        <v>0.11624452066100543</v>
      </c>
      <c r="R6" s="13">
        <v>8.9597656307506587E-2</v>
      </c>
    </row>
    <row r="7" spans="1:19" ht="15" customHeight="1" x14ac:dyDescent="0.25">
      <c r="A7" t="s">
        <v>23</v>
      </c>
      <c r="B7" s="9">
        <v>58126</v>
      </c>
      <c r="C7" s="9">
        <v>60953</v>
      </c>
      <c r="D7" s="9">
        <v>56468</v>
      </c>
      <c r="E7" s="9">
        <v>61751</v>
      </c>
      <c r="F7" s="10">
        <v>15253</v>
      </c>
      <c r="G7" s="10">
        <v>13502</v>
      </c>
      <c r="H7" s="10">
        <v>16374</v>
      </c>
      <c r="I7" s="10">
        <v>14746</v>
      </c>
      <c r="J7" s="9">
        <v>59875</v>
      </c>
      <c r="K7" s="11">
        <v>15283</v>
      </c>
      <c r="L7" s="11"/>
      <c r="M7" s="11"/>
      <c r="N7" s="11"/>
      <c r="O7" s="9">
        <v>15283</v>
      </c>
      <c r="P7" s="12">
        <v>1.966826198124938E-3</v>
      </c>
      <c r="Q7" s="12">
        <v>1.966826198124938E-3</v>
      </c>
      <c r="R7" s="13">
        <v>2.2499153503025306E-2</v>
      </c>
    </row>
    <row r="8" spans="1:19" ht="15" customHeight="1" x14ac:dyDescent="0.25">
      <c r="A8" t="s">
        <v>24</v>
      </c>
      <c r="B8" s="9">
        <v>396781</v>
      </c>
      <c r="C8" s="9">
        <v>399539</v>
      </c>
      <c r="D8" s="9">
        <v>382237</v>
      </c>
      <c r="E8" s="9">
        <v>390505</v>
      </c>
      <c r="F8" s="10">
        <v>97876</v>
      </c>
      <c r="G8" s="10">
        <v>94933</v>
      </c>
      <c r="H8" s="10">
        <v>99271</v>
      </c>
      <c r="I8" s="10">
        <v>97354</v>
      </c>
      <c r="J8" s="9">
        <v>389434</v>
      </c>
      <c r="K8" s="11">
        <v>101274</v>
      </c>
      <c r="L8" s="11"/>
      <c r="M8" s="11"/>
      <c r="N8" s="11"/>
      <c r="O8" s="9">
        <v>101274</v>
      </c>
      <c r="P8" s="12">
        <v>3.4717397523396976E-2</v>
      </c>
      <c r="Q8" s="12">
        <v>3.4717397523396976E-2</v>
      </c>
      <c r="R8" s="13">
        <v>0.1490924080262635</v>
      </c>
    </row>
    <row r="9" spans="1:19" ht="15" customHeight="1" x14ac:dyDescent="0.25">
      <c r="A9" t="s">
        <v>25</v>
      </c>
      <c r="B9" s="9">
        <v>393976</v>
      </c>
      <c r="C9" s="9">
        <v>399235</v>
      </c>
      <c r="D9" s="9">
        <v>368386</v>
      </c>
      <c r="E9" s="9">
        <v>389750</v>
      </c>
      <c r="F9" s="10">
        <v>98404</v>
      </c>
      <c r="G9" s="10">
        <v>93063</v>
      </c>
      <c r="H9" s="10">
        <v>94455</v>
      </c>
      <c r="I9" s="10">
        <v>96848</v>
      </c>
      <c r="J9" s="9">
        <v>382770</v>
      </c>
      <c r="K9" s="11">
        <v>101051</v>
      </c>
      <c r="L9" s="11"/>
      <c r="M9" s="11"/>
      <c r="N9" s="11"/>
      <c r="O9" s="9">
        <v>101051</v>
      </c>
      <c r="P9" s="12">
        <v>2.6899313036055528E-2</v>
      </c>
      <c r="Q9" s="12">
        <v>2.6899313036055528E-2</v>
      </c>
      <c r="R9" s="13">
        <v>0.14876411441694762</v>
      </c>
    </row>
    <row r="10" spans="1:19" ht="15" customHeight="1" x14ac:dyDescent="0.25">
      <c r="A10" t="s">
        <v>26</v>
      </c>
      <c r="B10" s="9">
        <v>247645</v>
      </c>
      <c r="C10" s="9">
        <v>244006</v>
      </c>
      <c r="D10" s="9">
        <v>232800</v>
      </c>
      <c r="E10" s="9">
        <v>235701</v>
      </c>
      <c r="F10" s="10">
        <v>57318</v>
      </c>
      <c r="G10" s="10">
        <v>54513</v>
      </c>
      <c r="H10" s="10">
        <v>60754</v>
      </c>
      <c r="I10" s="10">
        <v>57199</v>
      </c>
      <c r="J10" s="9">
        <v>229784</v>
      </c>
      <c r="K10" s="11">
        <v>59937</v>
      </c>
      <c r="L10" s="11"/>
      <c r="M10" s="11"/>
      <c r="N10" s="11"/>
      <c r="O10" s="9">
        <v>59937</v>
      </c>
      <c r="P10" s="12">
        <v>4.5692452632680736E-2</v>
      </c>
      <c r="Q10" s="12">
        <v>4.5692452632680736E-2</v>
      </c>
      <c r="R10" s="13">
        <v>8.8237372473390557E-2</v>
      </c>
    </row>
    <row r="11" spans="1:19" ht="15" customHeight="1" x14ac:dyDescent="0.25">
      <c r="A11" t="s">
        <v>27</v>
      </c>
      <c r="B11" s="9">
        <v>35961</v>
      </c>
      <c r="C11" s="9">
        <v>39651</v>
      </c>
      <c r="D11" s="9">
        <v>35146</v>
      </c>
      <c r="E11" s="9">
        <v>31721</v>
      </c>
      <c r="F11" s="10">
        <v>7745</v>
      </c>
      <c r="G11" s="10">
        <v>8581</v>
      </c>
      <c r="H11" s="10">
        <v>10171</v>
      </c>
      <c r="I11" s="10">
        <v>10884</v>
      </c>
      <c r="J11" s="9">
        <v>37381</v>
      </c>
      <c r="K11" s="11">
        <v>10679</v>
      </c>
      <c r="L11" s="11"/>
      <c r="M11" s="11"/>
      <c r="N11" s="11"/>
      <c r="O11" s="9">
        <v>10679</v>
      </c>
      <c r="P11" s="12">
        <v>0.37882504841833442</v>
      </c>
      <c r="Q11" s="12">
        <v>0.37882504841833442</v>
      </c>
      <c r="R11" s="13">
        <v>1.5721289030871378E-2</v>
      </c>
    </row>
    <row r="12" spans="1:19" ht="15" customHeight="1" x14ac:dyDescent="0.25">
      <c r="A12" t="s">
        <v>28</v>
      </c>
      <c r="B12" s="9">
        <v>32085</v>
      </c>
      <c r="C12" s="9">
        <v>28556</v>
      </c>
      <c r="D12" s="9">
        <v>23771</v>
      </c>
      <c r="E12" s="9">
        <v>22532</v>
      </c>
      <c r="F12" s="10">
        <v>3249</v>
      </c>
      <c r="G12" s="10">
        <v>4378</v>
      </c>
      <c r="H12" s="10">
        <v>4338</v>
      </c>
      <c r="I12" s="10">
        <v>4094</v>
      </c>
      <c r="J12" s="9">
        <v>16059</v>
      </c>
      <c r="K12" s="11">
        <v>4814</v>
      </c>
      <c r="L12" s="11"/>
      <c r="M12" s="11"/>
      <c r="N12" s="11"/>
      <c r="O12" s="9">
        <v>4814</v>
      </c>
      <c r="P12" s="12">
        <v>0.48168667282240696</v>
      </c>
      <c r="Q12" s="12">
        <v>0.48168667282240696</v>
      </c>
      <c r="R12" s="13">
        <v>7.0870198889984833E-3</v>
      </c>
    </row>
    <row r="13" spans="1:19" ht="15" customHeight="1" x14ac:dyDescent="0.25">
      <c r="A13" t="s">
        <v>29</v>
      </c>
      <c r="B13" s="9">
        <v>70437</v>
      </c>
      <c r="C13" s="9">
        <v>68452</v>
      </c>
      <c r="D13" s="9">
        <v>64095</v>
      </c>
      <c r="E13" s="9">
        <v>65143</v>
      </c>
      <c r="F13" s="10">
        <v>16784</v>
      </c>
      <c r="G13" s="10">
        <v>16131</v>
      </c>
      <c r="H13" s="10">
        <v>16339</v>
      </c>
      <c r="I13" s="10">
        <v>14676</v>
      </c>
      <c r="J13" s="9">
        <v>63930</v>
      </c>
      <c r="K13" s="11">
        <v>15254</v>
      </c>
      <c r="L13" s="11"/>
      <c r="M13" s="11"/>
      <c r="N13" s="11"/>
      <c r="O13" s="9">
        <v>15254</v>
      </c>
      <c r="P13" s="12">
        <v>-9.1158245948522398E-2</v>
      </c>
      <c r="Q13" s="12">
        <v>-9.1158245948522398E-2</v>
      </c>
      <c r="R13" s="13">
        <v>2.2456460612127725E-2</v>
      </c>
    </row>
    <row r="14" spans="1:19" ht="15" customHeight="1" x14ac:dyDescent="0.25">
      <c r="A14" t="s">
        <v>30</v>
      </c>
      <c r="B14" s="9">
        <v>2365</v>
      </c>
      <c r="C14" s="9">
        <v>2289</v>
      </c>
      <c r="D14" s="9">
        <v>2697</v>
      </c>
      <c r="E14" s="9">
        <v>2706</v>
      </c>
      <c r="F14" s="10">
        <v>487</v>
      </c>
      <c r="G14" s="10">
        <v>709</v>
      </c>
      <c r="H14" s="10">
        <v>639</v>
      </c>
      <c r="I14" s="10">
        <v>700</v>
      </c>
      <c r="J14" s="9">
        <v>2535</v>
      </c>
      <c r="K14" s="11">
        <v>405</v>
      </c>
      <c r="L14" s="11"/>
      <c r="M14" s="11"/>
      <c r="N14" s="11"/>
      <c r="O14" s="9">
        <v>405</v>
      </c>
      <c r="P14" s="12">
        <v>-0.16837782340862428</v>
      </c>
      <c r="Q14" s="12">
        <v>-0.16837782340862428</v>
      </c>
      <c r="R14" s="13">
        <v>5.962283039144964E-4</v>
      </c>
    </row>
    <row r="15" spans="1:19" ht="15" customHeight="1" x14ac:dyDescent="0.25">
      <c r="A15" t="s">
        <v>31</v>
      </c>
      <c r="B15" s="9">
        <v>384</v>
      </c>
      <c r="C15" s="9">
        <v>613</v>
      </c>
      <c r="D15" s="9">
        <v>594</v>
      </c>
      <c r="E15" s="9">
        <v>1185</v>
      </c>
      <c r="F15" s="10">
        <v>264</v>
      </c>
      <c r="G15" s="10">
        <v>316</v>
      </c>
      <c r="H15" s="10">
        <v>271</v>
      </c>
      <c r="I15" s="10">
        <v>403</v>
      </c>
      <c r="J15" s="9">
        <v>1254</v>
      </c>
      <c r="K15" s="11">
        <v>238</v>
      </c>
      <c r="L15" s="11"/>
      <c r="M15" s="11"/>
      <c r="N15" s="11"/>
      <c r="O15" s="9">
        <v>238</v>
      </c>
      <c r="P15" s="12">
        <v>-9.8484848484848508E-2</v>
      </c>
      <c r="Q15" s="12">
        <v>-9.8484848484848508E-2</v>
      </c>
      <c r="R15" s="13">
        <v>3.5037613909049423E-4</v>
      </c>
    </row>
    <row r="16" spans="1:19" ht="15" customHeight="1" x14ac:dyDescent="0.25">
      <c r="A16" t="s">
        <v>32</v>
      </c>
      <c r="B16" s="9">
        <v>712620</v>
      </c>
      <c r="C16" s="9">
        <v>730029</v>
      </c>
      <c r="D16" s="9">
        <v>738536</v>
      </c>
      <c r="E16" s="9">
        <v>719917</v>
      </c>
      <c r="F16" s="10">
        <v>189957</v>
      </c>
      <c r="G16" s="10">
        <v>180511</v>
      </c>
      <c r="H16" s="10">
        <v>191315</v>
      </c>
      <c r="I16" s="10">
        <v>180787</v>
      </c>
      <c r="J16" s="9">
        <v>742570</v>
      </c>
      <c r="K16" s="11">
        <v>193516</v>
      </c>
      <c r="L16" s="11"/>
      <c r="M16" s="11"/>
      <c r="N16" s="11"/>
      <c r="O16" s="9">
        <v>193516</v>
      </c>
      <c r="P16" s="12">
        <v>1.8735819159072742E-2</v>
      </c>
      <c r="Q16" s="12">
        <v>1.8735819159072742E-2</v>
      </c>
      <c r="R16" s="13">
        <v>0.28488818879090788</v>
      </c>
    </row>
    <row r="17" spans="1:18" ht="15" customHeight="1" x14ac:dyDescent="0.25">
      <c r="A17" t="s">
        <v>33</v>
      </c>
      <c r="B17" s="9">
        <v>334384</v>
      </c>
      <c r="C17" s="9">
        <v>340815</v>
      </c>
      <c r="D17" s="9">
        <v>334188</v>
      </c>
      <c r="E17" s="9">
        <v>329244</v>
      </c>
      <c r="F17" s="10">
        <v>89026</v>
      </c>
      <c r="G17" s="10">
        <v>83106</v>
      </c>
      <c r="H17" s="10">
        <v>87843</v>
      </c>
      <c r="I17" s="10">
        <v>85597</v>
      </c>
      <c r="J17" s="9">
        <v>345572</v>
      </c>
      <c r="K17" s="11">
        <v>89212</v>
      </c>
      <c r="L17" s="11"/>
      <c r="M17" s="11"/>
      <c r="N17" s="11"/>
      <c r="O17" s="9">
        <v>89212</v>
      </c>
      <c r="P17" s="12">
        <v>2.0892772897804779E-3</v>
      </c>
      <c r="Q17" s="12">
        <v>2.0892772897804779E-3</v>
      </c>
      <c r="R17" s="13">
        <v>0.13133510975017298</v>
      </c>
    </row>
    <row r="18" spans="1:18" ht="15" customHeight="1" x14ac:dyDescent="0.25">
      <c r="A18" t="s">
        <v>34</v>
      </c>
      <c r="B18" s="9">
        <v>27791</v>
      </c>
      <c r="C18" s="9">
        <v>23293</v>
      </c>
      <c r="D18" s="9">
        <v>15778</v>
      </c>
      <c r="E18" s="9">
        <v>10193</v>
      </c>
      <c r="F18" s="10">
        <v>1374</v>
      </c>
      <c r="G18" s="10">
        <v>1961</v>
      </c>
      <c r="H18" s="10">
        <v>1908</v>
      </c>
      <c r="I18" s="10">
        <v>2501</v>
      </c>
      <c r="J18" s="9">
        <v>7744</v>
      </c>
      <c r="K18" s="11">
        <v>1027</v>
      </c>
      <c r="L18" s="11"/>
      <c r="M18" s="11"/>
      <c r="N18" s="11"/>
      <c r="O18" s="9">
        <v>1027</v>
      </c>
      <c r="P18" s="12">
        <v>-0.25254730713245999</v>
      </c>
      <c r="Q18" s="12">
        <v>-0.25254730713245999</v>
      </c>
      <c r="R18" s="13">
        <v>1.5119172052350317E-3</v>
      </c>
    </row>
    <row r="19" spans="1:18" ht="15" customHeight="1" x14ac:dyDescent="0.25">
      <c r="A19" t="s">
        <v>35</v>
      </c>
      <c r="B19" s="9">
        <f>SUBTOTAL(109,Tabell_Gris[2021])</f>
        <v>2647847</v>
      </c>
      <c r="C19" s="9">
        <f>SUBTOTAL(109,Tabell_Gris[2022])</f>
        <v>2668928</v>
      </c>
      <c r="D19" s="9">
        <f>SUBTOTAL(109,Tabell_Gris[2023])</f>
        <v>2568334</v>
      </c>
      <c r="E19" s="9">
        <f>SUBTOTAL(109,Tabell_Gris[2024])</f>
        <v>2576636</v>
      </c>
      <c r="F19" s="9">
        <f>SUBTOTAL(109,Tabell_Gris[Kvartal 1 2025])</f>
        <v>658272</v>
      </c>
      <c r="G19" s="9">
        <f>SUBTOTAL(109,Tabell_Gris[Kvartal 2 2025])</f>
        <v>626771</v>
      </c>
      <c r="H19" s="9">
        <f>SUBTOTAL(109,Tabell_Gris[Kvartal 3 2025])</f>
        <v>665385</v>
      </c>
      <c r="I19" s="9">
        <f>SUBTOTAL(109,Tabell_Gris[Kvartal 4 2025])</f>
        <v>648795</v>
      </c>
      <c r="J19" s="9">
        <f>SUBTOTAL(109,Tabell_Gris[2025])</f>
        <v>2599223</v>
      </c>
      <c r="K19" s="9">
        <f>SUBTOTAL(109,Tabell_Gris[Kvartal 1 2026])</f>
        <v>679270</v>
      </c>
      <c r="L19" s="9">
        <f>SUBTOTAL(109,Tabell_Gris[Kvartal 2 2026])</f>
        <v>0</v>
      </c>
      <c r="M19" s="9">
        <f>SUBTOTAL(109,Tabell_Gris[Kvartal 3 2026])</f>
        <v>0</v>
      </c>
      <c r="N19" s="9">
        <f>SUBTOTAL(109,Tabell_Gris[Kvartal 4 2026])</f>
        <v>0</v>
      </c>
      <c r="O19" s="9">
        <f>SUBTOTAL(109,Tabell_Gris[2026])</f>
        <v>679270</v>
      </c>
      <c r="P19" s="15">
        <f>K19/F19-1</f>
        <v>3.1898668027806165E-2</v>
      </c>
      <c r="Q19" s="15">
        <f>O19/SUM(F19:F19)-1</f>
        <v>3.1898668027806165E-2</v>
      </c>
      <c r="R19" s="13">
        <f>SUBTOTAL(109,Tabell_Gris[Procentuell andel 2026*])</f>
        <v>0.99999999999999989</v>
      </c>
    </row>
    <row r="20" spans="1:18" ht="15" customHeight="1" x14ac:dyDescent="0.25">
      <c r="A20" t="s">
        <v>36</v>
      </c>
    </row>
    <row r="21" spans="1:18" ht="15" customHeight="1" x14ac:dyDescent="0.25">
      <c r="A21" t="s">
        <v>37</v>
      </c>
    </row>
    <row r="22" spans="1:18" ht="15" customHeight="1" x14ac:dyDescent="0.25">
      <c r="A22" t="s">
        <v>38</v>
      </c>
    </row>
    <row r="23" spans="1:18" ht="15" customHeight="1" x14ac:dyDescent="0.25">
      <c r="A23" t="s">
        <v>39</v>
      </c>
    </row>
    <row r="24" spans="1:18" ht="15" customHeight="1" x14ac:dyDescent="0.25"/>
    <row r="25" spans="1:18" ht="15" customHeight="1" x14ac:dyDescent="0.25"/>
    <row r="26" spans="1:18" ht="15" customHeight="1" x14ac:dyDescent="0.25"/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pageMargins left="0.70866141732283472" right="0.31496062992125984" top="0.55118110236220474" bottom="0.74803149606299213" header="0.31496062992125984" footer="0.31496062992125984"/>
  <pageSetup paperSize="9" scale="7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F648-650A-4724-A48F-373D50B1D087}">
  <sheetPr codeName="flKalv">
    <pageSetUpPr fitToPage="1"/>
  </sheetPr>
  <dimension ref="A1:W69"/>
  <sheetViews>
    <sheetView workbookViewId="0">
      <selection activeCell="A2" sqref="A2"/>
    </sheetView>
  </sheetViews>
  <sheetFormatPr defaultColWidth="9.140625" defaultRowHeight="15" x14ac:dyDescent="0.25"/>
  <cols>
    <col min="1" max="1" width="27" customWidth="1"/>
    <col min="2" max="15" width="8.28515625" customWidth="1"/>
    <col min="16" max="16" width="9.28515625" customWidth="1"/>
    <col min="17" max="17" width="10.140625" customWidth="1"/>
    <col min="18" max="18" width="10" customWidth="1"/>
  </cols>
  <sheetData>
    <row r="1" spans="1:23" ht="92.25" customHeight="1" x14ac:dyDescent="0.25">
      <c r="A1" s="1" t="s">
        <v>40</v>
      </c>
      <c r="C1" s="1"/>
      <c r="J1" s="1"/>
      <c r="R1" s="2"/>
    </row>
    <row r="2" spans="1:23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23" ht="15" customHeight="1" x14ac:dyDescent="0.25">
      <c r="A3" t="s">
        <v>41</v>
      </c>
      <c r="B3" s="9">
        <v>62</v>
      </c>
      <c r="C3" s="9">
        <v>58</v>
      </c>
      <c r="D3" s="9">
        <v>59</v>
      </c>
      <c r="E3" s="9">
        <v>61</v>
      </c>
      <c r="F3" s="10">
        <v>17</v>
      </c>
      <c r="G3" s="10">
        <v>13</v>
      </c>
      <c r="H3" s="10">
        <v>14</v>
      </c>
      <c r="I3" s="10">
        <v>15</v>
      </c>
      <c r="J3" s="9">
        <v>59</v>
      </c>
      <c r="K3" s="11">
        <v>7</v>
      </c>
      <c r="L3" s="11"/>
      <c r="M3" s="11"/>
      <c r="N3" s="11"/>
      <c r="O3" s="9">
        <v>7</v>
      </c>
      <c r="P3" s="15">
        <v>-0.58823529411764708</v>
      </c>
      <c r="Q3" s="12">
        <v>-0.58823529411764708</v>
      </c>
      <c r="R3" s="13">
        <v>5.4901960784313726E-3</v>
      </c>
      <c r="U3" s="16" t="s">
        <v>42</v>
      </c>
    </row>
    <row r="4" spans="1:23" ht="15" customHeight="1" x14ac:dyDescent="0.25">
      <c r="A4" t="s">
        <v>43</v>
      </c>
      <c r="B4" s="9">
        <v>3</v>
      </c>
      <c r="C4" s="9">
        <v>9</v>
      </c>
      <c r="D4" s="9">
        <v>4</v>
      </c>
      <c r="E4" s="9">
        <v>2</v>
      </c>
      <c r="F4" s="10">
        <v>1</v>
      </c>
      <c r="G4" s="10"/>
      <c r="H4" s="10"/>
      <c r="I4" s="10">
        <v>2</v>
      </c>
      <c r="J4" s="9">
        <v>3</v>
      </c>
      <c r="K4" s="11">
        <v>5</v>
      </c>
      <c r="L4" s="11"/>
      <c r="M4" s="11"/>
      <c r="N4" s="11"/>
      <c r="O4" s="9">
        <v>5</v>
      </c>
      <c r="P4" s="15">
        <v>4</v>
      </c>
      <c r="Q4" s="12">
        <v>4</v>
      </c>
      <c r="R4" s="13">
        <v>3.9215686274509803E-3</v>
      </c>
    </row>
    <row r="5" spans="1:23" ht="15" customHeight="1" x14ac:dyDescent="0.25">
      <c r="A5" t="s">
        <v>44</v>
      </c>
      <c r="B5" s="9">
        <v>100</v>
      </c>
      <c r="C5" s="9">
        <v>130</v>
      </c>
      <c r="D5" s="9">
        <v>135</v>
      </c>
      <c r="E5" s="9">
        <v>119</v>
      </c>
      <c r="F5" s="10">
        <v>33</v>
      </c>
      <c r="G5" s="10">
        <v>50</v>
      </c>
      <c r="H5" s="10">
        <v>38</v>
      </c>
      <c r="I5" s="10">
        <v>42</v>
      </c>
      <c r="J5" s="9">
        <v>163</v>
      </c>
      <c r="K5" s="11">
        <v>51</v>
      </c>
      <c r="L5" s="11"/>
      <c r="M5" s="11"/>
      <c r="N5" s="11"/>
      <c r="O5" s="9">
        <v>51</v>
      </c>
      <c r="P5" s="15">
        <v>0.54545454545454541</v>
      </c>
      <c r="Q5" s="12">
        <v>0.54545454545454541</v>
      </c>
      <c r="R5" s="13">
        <v>0.04</v>
      </c>
    </row>
    <row r="6" spans="1:23" ht="15" customHeight="1" x14ac:dyDescent="0.25">
      <c r="A6" t="s">
        <v>22</v>
      </c>
      <c r="B6" s="9">
        <v>245</v>
      </c>
      <c r="C6" s="9">
        <v>230</v>
      </c>
      <c r="D6" s="9">
        <v>209</v>
      </c>
      <c r="E6" s="9">
        <v>319</v>
      </c>
      <c r="F6" s="10">
        <v>57</v>
      </c>
      <c r="G6" s="10">
        <v>39</v>
      </c>
      <c r="H6" s="10">
        <v>30</v>
      </c>
      <c r="I6" s="10">
        <v>57</v>
      </c>
      <c r="J6" s="9">
        <v>183</v>
      </c>
      <c r="K6" s="11">
        <v>26</v>
      </c>
      <c r="L6" s="11"/>
      <c r="M6" s="11"/>
      <c r="N6" s="11"/>
      <c r="O6" s="9">
        <v>26</v>
      </c>
      <c r="P6" s="15">
        <v>-0.54385964912280704</v>
      </c>
      <c r="Q6" s="12">
        <v>-0.54385964912280704</v>
      </c>
      <c r="R6" s="13">
        <v>2.0392156862745099E-2</v>
      </c>
      <c r="W6" s="16" t="s">
        <v>45</v>
      </c>
    </row>
    <row r="7" spans="1:23" ht="15" customHeight="1" x14ac:dyDescent="0.25">
      <c r="A7" t="s">
        <v>46</v>
      </c>
      <c r="B7" s="9">
        <v>319</v>
      </c>
      <c r="C7" s="9">
        <v>328</v>
      </c>
      <c r="D7" s="9">
        <v>401</v>
      </c>
      <c r="E7" s="9">
        <v>376</v>
      </c>
      <c r="F7" s="10">
        <v>125</v>
      </c>
      <c r="G7" s="10">
        <v>146</v>
      </c>
      <c r="H7" s="10">
        <v>137</v>
      </c>
      <c r="I7" s="10">
        <v>110</v>
      </c>
      <c r="J7" s="9">
        <v>518</v>
      </c>
      <c r="K7" s="11">
        <v>97</v>
      </c>
      <c r="L7" s="11"/>
      <c r="M7" s="11"/>
      <c r="N7" s="11"/>
      <c r="O7" s="9">
        <v>97</v>
      </c>
      <c r="P7" s="15">
        <v>-0.22399999999999998</v>
      </c>
      <c r="Q7" s="12">
        <v>-0.22399999999999998</v>
      </c>
      <c r="R7" s="13">
        <v>7.6078431372549021E-2</v>
      </c>
    </row>
    <row r="8" spans="1:23" ht="15" customHeight="1" x14ac:dyDescent="0.25">
      <c r="A8" t="s">
        <v>47</v>
      </c>
      <c r="B8" s="9">
        <v>169</v>
      </c>
      <c r="C8" s="9">
        <v>95</v>
      </c>
      <c r="D8" s="9">
        <v>512</v>
      </c>
      <c r="E8" s="9">
        <v>1293</v>
      </c>
      <c r="F8" s="10">
        <v>960</v>
      </c>
      <c r="G8" s="10">
        <v>970</v>
      </c>
      <c r="H8" s="10">
        <v>665</v>
      </c>
      <c r="I8" s="10">
        <v>586</v>
      </c>
      <c r="J8" s="9">
        <v>3181</v>
      </c>
      <c r="K8" s="11">
        <v>555</v>
      </c>
      <c r="L8" s="11"/>
      <c r="M8" s="11"/>
      <c r="N8" s="11"/>
      <c r="O8" s="9">
        <v>555</v>
      </c>
      <c r="P8" s="15">
        <v>-0.421875</v>
      </c>
      <c r="Q8" s="12">
        <v>-0.421875</v>
      </c>
      <c r="R8" s="13">
        <v>0.43529411764705883</v>
      </c>
    </row>
    <row r="9" spans="1:23" ht="15" customHeight="1" x14ac:dyDescent="0.25">
      <c r="A9" t="s">
        <v>48</v>
      </c>
      <c r="B9" s="9">
        <v>559</v>
      </c>
      <c r="C9" s="9">
        <v>638</v>
      </c>
      <c r="D9" s="9">
        <v>610</v>
      </c>
      <c r="E9" s="9">
        <v>704</v>
      </c>
      <c r="F9" s="10">
        <v>207</v>
      </c>
      <c r="G9" s="10">
        <v>180</v>
      </c>
      <c r="H9" s="10">
        <v>162</v>
      </c>
      <c r="I9" s="10">
        <v>163</v>
      </c>
      <c r="J9" s="9">
        <v>712</v>
      </c>
      <c r="K9" s="11">
        <v>153</v>
      </c>
      <c r="L9" s="11"/>
      <c r="M9" s="11"/>
      <c r="N9" s="11"/>
      <c r="O9" s="9">
        <v>153</v>
      </c>
      <c r="P9" s="15">
        <v>-0.26086956521739135</v>
      </c>
      <c r="Q9" s="12">
        <v>-0.26086956521739135</v>
      </c>
      <c r="R9" s="13">
        <v>0.12</v>
      </c>
    </row>
    <row r="10" spans="1:23" ht="15" customHeight="1" x14ac:dyDescent="0.25">
      <c r="A10" t="s">
        <v>23</v>
      </c>
      <c r="B10" s="9">
        <v>28</v>
      </c>
      <c r="C10" s="9">
        <v>31</v>
      </c>
      <c r="D10" s="9">
        <v>15</v>
      </c>
      <c r="E10" s="9">
        <v>44</v>
      </c>
      <c r="F10" s="10">
        <v>8</v>
      </c>
      <c r="G10" s="10">
        <v>6</v>
      </c>
      <c r="H10" s="10">
        <v>6</v>
      </c>
      <c r="I10" s="10">
        <v>18</v>
      </c>
      <c r="J10" s="9">
        <v>38</v>
      </c>
      <c r="K10" s="11">
        <v>5</v>
      </c>
      <c r="L10" s="11"/>
      <c r="M10" s="11"/>
      <c r="N10" s="11"/>
      <c r="O10" s="9">
        <v>5</v>
      </c>
      <c r="P10" s="15">
        <v>-0.375</v>
      </c>
      <c r="Q10" s="12">
        <v>-0.375</v>
      </c>
      <c r="R10" s="13">
        <v>3.9215686274509803E-3</v>
      </c>
    </row>
    <row r="11" spans="1:23" ht="15" customHeight="1" x14ac:dyDescent="0.25">
      <c r="A11" t="s">
        <v>49</v>
      </c>
      <c r="B11" s="9">
        <v>43</v>
      </c>
      <c r="C11" s="9">
        <v>12</v>
      </c>
      <c r="D11" s="9">
        <v>86</v>
      </c>
      <c r="E11" s="9">
        <v>70</v>
      </c>
      <c r="F11" s="10">
        <v>28</v>
      </c>
      <c r="G11" s="10">
        <v>5</v>
      </c>
      <c r="H11" s="10">
        <v>4</v>
      </c>
      <c r="I11" s="10">
        <v>47</v>
      </c>
      <c r="J11" s="9">
        <v>84</v>
      </c>
      <c r="K11" s="11">
        <v>3</v>
      </c>
      <c r="L11" s="11"/>
      <c r="M11" s="11"/>
      <c r="N11" s="11"/>
      <c r="O11" s="9">
        <v>3</v>
      </c>
      <c r="P11" s="15">
        <v>-0.8928571428571429</v>
      </c>
      <c r="Q11" s="12">
        <v>-0.8928571428571429</v>
      </c>
      <c r="R11" s="13">
        <v>2.352941176470588E-3</v>
      </c>
    </row>
    <row r="12" spans="1:23" ht="15" customHeight="1" x14ac:dyDescent="0.25">
      <c r="A12" t="s">
        <v>24</v>
      </c>
      <c r="B12" s="9">
        <v>110</v>
      </c>
      <c r="C12" s="9">
        <v>103</v>
      </c>
      <c r="D12" s="9">
        <v>80</v>
      </c>
      <c r="E12" s="9">
        <v>59</v>
      </c>
      <c r="F12" s="10">
        <v>13</v>
      </c>
      <c r="G12" s="10">
        <v>26</v>
      </c>
      <c r="H12" s="10">
        <v>25</v>
      </c>
      <c r="I12" s="10">
        <v>25</v>
      </c>
      <c r="J12" s="9">
        <v>89</v>
      </c>
      <c r="K12" s="11">
        <v>18</v>
      </c>
      <c r="L12" s="11"/>
      <c r="M12" s="11"/>
      <c r="N12" s="11"/>
      <c r="O12" s="9">
        <v>18</v>
      </c>
      <c r="P12" s="15">
        <v>0.38461538461538458</v>
      </c>
      <c r="Q12" s="12">
        <v>0.38461538461538458</v>
      </c>
      <c r="R12" s="13">
        <v>1.411764705882353E-2</v>
      </c>
    </row>
    <row r="13" spans="1:23" ht="15" customHeight="1" x14ac:dyDescent="0.25">
      <c r="A13" t="s">
        <v>25</v>
      </c>
      <c r="B13" s="9">
        <v>20</v>
      </c>
      <c r="C13" s="9">
        <v>13</v>
      </c>
      <c r="D13" s="9">
        <v>11</v>
      </c>
      <c r="E13" s="9">
        <v>10</v>
      </c>
      <c r="F13" s="10"/>
      <c r="G13" s="10">
        <v>3</v>
      </c>
      <c r="H13" s="10">
        <v>1</v>
      </c>
      <c r="I13" s="10">
        <v>4</v>
      </c>
      <c r="J13" s="9">
        <v>8</v>
      </c>
      <c r="K13" s="11">
        <v>1</v>
      </c>
      <c r="L13" s="11"/>
      <c r="M13" s="11"/>
      <c r="N13" s="11"/>
      <c r="O13" s="9">
        <v>1</v>
      </c>
      <c r="P13" s="15" t="s">
        <v>50</v>
      </c>
      <c r="Q13" s="12" t="s">
        <v>50</v>
      </c>
      <c r="R13" s="13">
        <v>7.8431372549019605E-4</v>
      </c>
    </row>
    <row r="14" spans="1:23" ht="15" customHeight="1" x14ac:dyDescent="0.25">
      <c r="A14" t="s">
        <v>51</v>
      </c>
      <c r="B14" s="9">
        <v>241</v>
      </c>
      <c r="C14" s="9">
        <v>386</v>
      </c>
      <c r="D14" s="9">
        <v>1182</v>
      </c>
      <c r="E14" s="9">
        <v>969</v>
      </c>
      <c r="F14" s="10">
        <v>93</v>
      </c>
      <c r="G14" s="10">
        <v>58</v>
      </c>
      <c r="H14" s="10">
        <v>5</v>
      </c>
      <c r="I14" s="10">
        <v>8</v>
      </c>
      <c r="J14" s="9">
        <v>164</v>
      </c>
      <c r="K14" s="11">
        <v>7</v>
      </c>
      <c r="L14" s="11"/>
      <c r="M14" s="11"/>
      <c r="N14" s="11"/>
      <c r="O14" s="9">
        <v>7</v>
      </c>
      <c r="P14" s="15">
        <v>-0.92473118279569888</v>
      </c>
      <c r="Q14" s="12">
        <v>-0.92473118279569888</v>
      </c>
      <c r="R14" s="13">
        <v>5.4901960784313726E-3</v>
      </c>
    </row>
    <row r="15" spans="1:23" ht="15" customHeight="1" x14ac:dyDescent="0.25">
      <c r="A15" t="s">
        <v>52</v>
      </c>
      <c r="B15" s="9">
        <v>73</v>
      </c>
      <c r="C15" s="9">
        <v>72</v>
      </c>
      <c r="D15" s="9">
        <v>111</v>
      </c>
      <c r="E15" s="9">
        <v>117</v>
      </c>
      <c r="F15" s="10">
        <v>6</v>
      </c>
      <c r="G15" s="10">
        <v>10</v>
      </c>
      <c r="H15" s="10">
        <v>14</v>
      </c>
      <c r="I15" s="10">
        <v>15</v>
      </c>
      <c r="J15" s="9">
        <v>45</v>
      </c>
      <c r="K15" s="11">
        <v>6</v>
      </c>
      <c r="L15" s="11"/>
      <c r="M15" s="11"/>
      <c r="N15" s="11"/>
      <c r="O15" s="9">
        <v>6</v>
      </c>
      <c r="P15" s="15">
        <v>0</v>
      </c>
      <c r="Q15" s="12">
        <v>0</v>
      </c>
      <c r="R15" s="13">
        <v>4.7058823529411761E-3</v>
      </c>
    </row>
    <row r="16" spans="1:23" ht="15" customHeight="1" x14ac:dyDescent="0.25">
      <c r="A16" t="s">
        <v>53</v>
      </c>
      <c r="B16" s="9">
        <v>589</v>
      </c>
      <c r="C16" s="9">
        <v>509</v>
      </c>
      <c r="D16" s="9">
        <v>593</v>
      </c>
      <c r="E16" s="9">
        <v>583</v>
      </c>
      <c r="F16" s="10">
        <v>150</v>
      </c>
      <c r="G16" s="10">
        <v>106</v>
      </c>
      <c r="H16" s="10">
        <v>82</v>
      </c>
      <c r="I16" s="10">
        <v>164</v>
      </c>
      <c r="J16" s="9">
        <v>502</v>
      </c>
      <c r="K16" s="11">
        <v>138</v>
      </c>
      <c r="L16" s="11"/>
      <c r="M16" s="11"/>
      <c r="N16" s="11"/>
      <c r="O16" s="9">
        <v>138</v>
      </c>
      <c r="P16" s="15">
        <v>-7.999999999999996E-2</v>
      </c>
      <c r="Q16" s="12">
        <v>-7.999999999999996E-2</v>
      </c>
      <c r="R16" s="13">
        <v>0.10823529411764705</v>
      </c>
    </row>
    <row r="17" spans="1:18" ht="15" customHeight="1" x14ac:dyDescent="0.25">
      <c r="A17" t="s">
        <v>54</v>
      </c>
      <c r="B17" s="9">
        <v>23</v>
      </c>
      <c r="C17" s="9">
        <v>31</v>
      </c>
      <c r="D17" s="9">
        <v>32</v>
      </c>
      <c r="E17" s="9">
        <v>18</v>
      </c>
      <c r="F17" s="10"/>
      <c r="G17" s="10"/>
      <c r="H17" s="10"/>
      <c r="I17" s="10">
        <v>15</v>
      </c>
      <c r="J17" s="9">
        <v>15</v>
      </c>
      <c r="K17" s="11">
        <v>2</v>
      </c>
      <c r="L17" s="11"/>
      <c r="M17" s="11"/>
      <c r="N17" s="11"/>
      <c r="O17" s="9">
        <v>2</v>
      </c>
      <c r="P17" s="15" t="s">
        <v>50</v>
      </c>
      <c r="Q17" s="12" t="s">
        <v>50</v>
      </c>
      <c r="R17" s="13">
        <v>1.5686274509803921E-3</v>
      </c>
    </row>
    <row r="18" spans="1:18" ht="15" customHeight="1" x14ac:dyDescent="0.25">
      <c r="A18" t="s">
        <v>30</v>
      </c>
      <c r="B18" s="9">
        <v>32</v>
      </c>
      <c r="C18" s="9">
        <v>23</v>
      </c>
      <c r="D18" s="9">
        <v>38</v>
      </c>
      <c r="E18" s="9">
        <v>24</v>
      </c>
      <c r="F18" s="10">
        <v>2</v>
      </c>
      <c r="G18" s="10">
        <v>14</v>
      </c>
      <c r="H18" s="10">
        <v>8</v>
      </c>
      <c r="I18" s="10">
        <v>14</v>
      </c>
      <c r="J18" s="9">
        <v>38</v>
      </c>
      <c r="K18" s="11">
        <v>10</v>
      </c>
      <c r="L18" s="11"/>
      <c r="M18" s="11"/>
      <c r="N18" s="11"/>
      <c r="O18" s="9">
        <v>10</v>
      </c>
      <c r="P18" s="15">
        <v>4</v>
      </c>
      <c r="Q18" s="12">
        <v>4</v>
      </c>
      <c r="R18" s="13">
        <v>7.8431372549019607E-3</v>
      </c>
    </row>
    <row r="19" spans="1:18" ht="15" customHeight="1" x14ac:dyDescent="0.25">
      <c r="A19" t="s">
        <v>31</v>
      </c>
      <c r="B19" s="9">
        <v>17</v>
      </c>
      <c r="C19" s="9">
        <v>42</v>
      </c>
      <c r="D19" s="9">
        <v>90</v>
      </c>
      <c r="E19" s="9">
        <v>71</v>
      </c>
      <c r="F19" s="10">
        <v>10</v>
      </c>
      <c r="G19" s="10">
        <v>8</v>
      </c>
      <c r="H19" s="10">
        <v>7</v>
      </c>
      <c r="I19" s="10">
        <v>7</v>
      </c>
      <c r="J19" s="9">
        <v>32</v>
      </c>
      <c r="K19" s="11">
        <v>7</v>
      </c>
      <c r="L19" s="11"/>
      <c r="M19" s="11"/>
      <c r="N19" s="11"/>
      <c r="O19" s="9">
        <v>7</v>
      </c>
      <c r="P19" s="15">
        <v>-0.30000000000000004</v>
      </c>
      <c r="Q19" s="12">
        <v>-0.30000000000000004</v>
      </c>
      <c r="R19" s="13">
        <v>5.4901960784313726E-3</v>
      </c>
    </row>
    <row r="20" spans="1:18" ht="15" customHeight="1" x14ac:dyDescent="0.25">
      <c r="A20" t="s">
        <v>55</v>
      </c>
      <c r="B20" s="9">
        <v>48</v>
      </c>
      <c r="C20" s="9">
        <v>46</v>
      </c>
      <c r="D20" s="9">
        <v>31</v>
      </c>
      <c r="E20" s="9">
        <v>34</v>
      </c>
      <c r="F20" s="10">
        <v>1</v>
      </c>
      <c r="G20" s="10">
        <v>4</v>
      </c>
      <c r="H20" s="10">
        <v>7</v>
      </c>
      <c r="I20" s="10">
        <v>2</v>
      </c>
      <c r="J20" s="9">
        <v>14</v>
      </c>
      <c r="K20" s="11">
        <v>9</v>
      </c>
      <c r="L20" s="11"/>
      <c r="M20" s="11"/>
      <c r="N20" s="11"/>
      <c r="O20" s="9">
        <v>9</v>
      </c>
      <c r="P20" s="15">
        <v>8</v>
      </c>
      <c r="Q20" s="12">
        <v>8</v>
      </c>
      <c r="R20" s="13">
        <v>7.058823529411765E-3</v>
      </c>
    </row>
    <row r="21" spans="1:18" ht="15" customHeight="1" x14ac:dyDescent="0.25">
      <c r="A21" t="s">
        <v>33</v>
      </c>
      <c r="B21" s="9">
        <v>1877</v>
      </c>
      <c r="C21" s="9">
        <v>1312</v>
      </c>
      <c r="D21" s="9">
        <v>101</v>
      </c>
      <c r="E21" s="9">
        <v>302</v>
      </c>
      <c r="F21" s="10">
        <v>193</v>
      </c>
      <c r="G21" s="10">
        <v>201</v>
      </c>
      <c r="H21" s="10">
        <v>190</v>
      </c>
      <c r="I21" s="10">
        <v>162</v>
      </c>
      <c r="J21" s="9">
        <v>746</v>
      </c>
      <c r="K21" s="11">
        <v>121</v>
      </c>
      <c r="L21" s="11"/>
      <c r="M21" s="11"/>
      <c r="N21" s="11"/>
      <c r="O21" s="9">
        <v>121</v>
      </c>
      <c r="P21" s="15">
        <v>-0.37305699481865284</v>
      </c>
      <c r="Q21" s="12">
        <v>-0.37305699481865284</v>
      </c>
      <c r="R21" s="13">
        <v>9.4901960784313719E-2</v>
      </c>
    </row>
    <row r="22" spans="1:18" ht="15" customHeight="1" x14ac:dyDescent="0.25">
      <c r="A22" t="s">
        <v>56</v>
      </c>
      <c r="B22" s="9">
        <v>92</v>
      </c>
      <c r="C22" s="9">
        <v>102</v>
      </c>
      <c r="D22" s="9">
        <v>69</v>
      </c>
      <c r="E22" s="9">
        <v>97</v>
      </c>
      <c r="F22" s="10">
        <v>16</v>
      </c>
      <c r="G22" s="10">
        <v>6</v>
      </c>
      <c r="H22" s="10">
        <v>8</v>
      </c>
      <c r="I22" s="10">
        <v>68</v>
      </c>
      <c r="J22" s="9">
        <v>98</v>
      </c>
      <c r="K22" s="11">
        <v>9</v>
      </c>
      <c r="L22" s="11"/>
      <c r="M22" s="11"/>
      <c r="N22" s="11"/>
      <c r="O22" s="9">
        <v>9</v>
      </c>
      <c r="P22" s="15">
        <v>-0.4375</v>
      </c>
      <c r="Q22" s="12">
        <v>-0.4375</v>
      </c>
      <c r="R22" s="13">
        <v>7.058823529411765E-3</v>
      </c>
    </row>
    <row r="23" spans="1:18" ht="15" customHeight="1" x14ac:dyDescent="0.25">
      <c r="A23" t="s">
        <v>34</v>
      </c>
      <c r="B23" s="9">
        <v>6849</v>
      </c>
      <c r="C23" s="9">
        <v>7304</v>
      </c>
      <c r="D23" s="9">
        <v>6608</v>
      </c>
      <c r="E23" s="9">
        <v>4684</v>
      </c>
      <c r="F23" s="10">
        <v>171</v>
      </c>
      <c r="G23" s="10">
        <v>118</v>
      </c>
      <c r="H23" s="10">
        <v>111</v>
      </c>
      <c r="I23" s="10">
        <v>171</v>
      </c>
      <c r="J23" s="9">
        <v>571</v>
      </c>
      <c r="K23" s="11">
        <v>45</v>
      </c>
      <c r="L23" s="11"/>
      <c r="M23" s="11"/>
      <c r="N23" s="11"/>
      <c r="O23" s="9">
        <v>45</v>
      </c>
      <c r="P23" s="15">
        <v>-0.73684210526315796</v>
      </c>
      <c r="Q23" s="12">
        <v>-0.73684210526315796</v>
      </c>
      <c r="R23" s="13">
        <v>3.5294117647058823E-2</v>
      </c>
    </row>
    <row r="24" spans="1:18" ht="15" customHeight="1" x14ac:dyDescent="0.25">
      <c r="A24" t="s">
        <v>35</v>
      </c>
      <c r="B24" s="9">
        <f>SUBTOTAL(109,Tabell_Kalv[2021])</f>
        <v>11499</v>
      </c>
      <c r="C24" s="9">
        <f>SUBTOTAL(109,Tabell_Kalv[2022])</f>
        <v>11474</v>
      </c>
      <c r="D24" s="9">
        <f>SUBTOTAL(109,Tabell_Kalv[2023])</f>
        <v>10977</v>
      </c>
      <c r="E24" s="9">
        <f>SUBTOTAL(109,Tabell_Kalv[2024])</f>
        <v>9956</v>
      </c>
      <c r="F24" s="9">
        <f>SUBTOTAL(109,Tabell_Kalv[Kvartal 1 2025])</f>
        <v>2091</v>
      </c>
      <c r="G24" s="9">
        <f>SUBTOTAL(109,Tabell_Kalv[Kvartal 2 2025])</f>
        <v>1963</v>
      </c>
      <c r="H24" s="9">
        <f>SUBTOTAL(109,Tabell_Kalv[Kvartal 3 2025])</f>
        <v>1514</v>
      </c>
      <c r="I24" s="9">
        <f>SUBTOTAL(109,Tabell_Kalv[Kvartal 4 2025])</f>
        <v>1695</v>
      </c>
      <c r="J24" s="9">
        <f>SUBTOTAL(109,Tabell_Kalv[2025])</f>
        <v>7263</v>
      </c>
      <c r="K24" s="9">
        <f>SUBTOTAL(109,Tabell_Kalv[Kvartal 1 2026])</f>
        <v>1275</v>
      </c>
      <c r="L24" s="9">
        <f>SUBTOTAL(109,Tabell_Kalv[Kvartal 2 2026])</f>
        <v>0</v>
      </c>
      <c r="M24" s="9">
        <f>SUBTOTAL(109,Tabell_Kalv[Kvartal 3 2026])</f>
        <v>0</v>
      </c>
      <c r="N24" s="9">
        <f>SUBTOTAL(109,Tabell_Kalv[Kvartal 4 2026])</f>
        <v>0</v>
      </c>
      <c r="O24" s="9">
        <f>SUBTOTAL(109,Tabell_Kalv[2026])</f>
        <v>1275</v>
      </c>
      <c r="P24" s="15">
        <f>K24/F24-1</f>
        <v>-0.3902439024390244</v>
      </c>
      <c r="Q24" s="15">
        <f>O24/SUM(F24:F24)-1</f>
        <v>-0.3902439024390244</v>
      </c>
      <c r="R24" s="13">
        <f>SUBTOTAL(109,Tabell_Kalv[Procentuell andel 2026*])</f>
        <v>1</v>
      </c>
    </row>
    <row r="25" spans="1:18" ht="15" customHeight="1" x14ac:dyDescent="0.25">
      <c r="A25" t="s">
        <v>57</v>
      </c>
    </row>
    <row r="26" spans="1:18" ht="15" customHeight="1" x14ac:dyDescent="0.25">
      <c r="A26" t="s">
        <v>37</v>
      </c>
    </row>
    <row r="27" spans="1:18" ht="15" customHeight="1" x14ac:dyDescent="0.25">
      <c r="A27" t="s">
        <v>58</v>
      </c>
    </row>
    <row r="28" spans="1:18" ht="15" customHeight="1" x14ac:dyDescent="0.25">
      <c r="A28" t="s">
        <v>39</v>
      </c>
    </row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4840-0F33-498E-88F1-0CA05DC6146D}">
  <sheetPr codeName="flStorb">
    <pageSetUpPr fitToPage="1"/>
  </sheetPr>
  <dimension ref="A1:R79"/>
  <sheetViews>
    <sheetView workbookViewId="0">
      <selection activeCell="A2" sqref="A2"/>
    </sheetView>
  </sheetViews>
  <sheetFormatPr defaultColWidth="9.140625" defaultRowHeight="15" x14ac:dyDescent="0.25"/>
  <cols>
    <col min="1" max="1" width="27" customWidth="1"/>
    <col min="2" max="15" width="8.28515625" customWidth="1"/>
    <col min="16" max="16" width="9.28515625" customWidth="1"/>
    <col min="17" max="17" width="10.140625" customWidth="1"/>
    <col min="18" max="18" width="10" customWidth="1"/>
  </cols>
  <sheetData>
    <row r="1" spans="1:18" ht="92.25" customHeight="1" x14ac:dyDescent="0.25">
      <c r="A1" s="1" t="s">
        <v>59</v>
      </c>
      <c r="C1" s="1"/>
      <c r="J1" s="1"/>
      <c r="R1" s="2"/>
    </row>
    <row r="2" spans="1:18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25">
      <c r="A3" t="s">
        <v>60</v>
      </c>
      <c r="B3" s="9">
        <v>1385</v>
      </c>
      <c r="C3" s="9">
        <v>1479</v>
      </c>
      <c r="D3" s="9">
        <v>1761</v>
      </c>
      <c r="E3" s="9">
        <v>1618</v>
      </c>
      <c r="F3" s="10">
        <v>392</v>
      </c>
      <c r="G3" s="10">
        <v>346</v>
      </c>
      <c r="H3" s="10">
        <v>405</v>
      </c>
      <c r="I3" s="10">
        <v>521</v>
      </c>
      <c r="J3" s="9">
        <v>1664</v>
      </c>
      <c r="K3" s="11">
        <v>399</v>
      </c>
      <c r="L3" s="11"/>
      <c r="M3" s="11"/>
      <c r="N3" s="11"/>
      <c r="O3" s="9">
        <v>399</v>
      </c>
      <c r="P3" s="12">
        <v>1.7857142857142794E-2</v>
      </c>
      <c r="Q3" s="12">
        <v>1.7857142857142794E-2</v>
      </c>
      <c r="R3" s="13">
        <v>4.665029814100316E-3</v>
      </c>
    </row>
    <row r="4" spans="1:18" ht="15" customHeight="1" x14ac:dyDescent="0.25">
      <c r="A4" t="s">
        <v>43</v>
      </c>
      <c r="B4" s="9">
        <v>1922</v>
      </c>
      <c r="C4" s="9">
        <v>2108</v>
      </c>
      <c r="D4" s="9">
        <v>2098</v>
      </c>
      <c r="E4" s="9">
        <v>1984</v>
      </c>
      <c r="F4" s="10">
        <v>471</v>
      </c>
      <c r="G4" s="10">
        <v>513</v>
      </c>
      <c r="H4" s="10">
        <v>509</v>
      </c>
      <c r="I4" s="10">
        <v>485</v>
      </c>
      <c r="J4" s="9">
        <v>1978</v>
      </c>
      <c r="K4" s="11">
        <v>424</v>
      </c>
      <c r="L4" s="11"/>
      <c r="M4" s="11"/>
      <c r="N4" s="11"/>
      <c r="O4" s="9">
        <v>424</v>
      </c>
      <c r="P4" s="12">
        <v>-9.9787685774946899E-2</v>
      </c>
      <c r="Q4" s="12">
        <v>-9.9787685774946899E-2</v>
      </c>
      <c r="R4" s="13">
        <v>4.9573249152344203E-3</v>
      </c>
    </row>
    <row r="5" spans="1:18" ht="15" customHeight="1" x14ac:dyDescent="0.25">
      <c r="A5" t="s">
        <v>44</v>
      </c>
      <c r="B5" s="9">
        <v>368</v>
      </c>
      <c r="C5" s="9">
        <v>458</v>
      </c>
      <c r="D5" s="9">
        <v>521</v>
      </c>
      <c r="E5" s="9">
        <v>413</v>
      </c>
      <c r="F5" s="10">
        <v>82</v>
      </c>
      <c r="G5" s="10">
        <v>83</v>
      </c>
      <c r="H5" s="10">
        <v>73</v>
      </c>
      <c r="I5" s="10">
        <v>238</v>
      </c>
      <c r="J5" s="9">
        <v>476</v>
      </c>
      <c r="K5" s="11">
        <v>92</v>
      </c>
      <c r="L5" s="11"/>
      <c r="M5" s="11"/>
      <c r="N5" s="11"/>
      <c r="O5" s="9">
        <v>92</v>
      </c>
      <c r="P5" s="12">
        <v>0.12195121951219523</v>
      </c>
      <c r="Q5" s="12">
        <v>0.12195121951219523</v>
      </c>
      <c r="R5" s="13">
        <v>1.0756459721735063E-3</v>
      </c>
    </row>
    <row r="6" spans="1:18" ht="15" customHeight="1" x14ac:dyDescent="0.25">
      <c r="A6" t="s">
        <v>22</v>
      </c>
      <c r="B6" s="9">
        <v>16340</v>
      </c>
      <c r="C6" s="9">
        <v>16534</v>
      </c>
      <c r="D6" s="9">
        <v>19177</v>
      </c>
      <c r="E6" s="9">
        <v>19258</v>
      </c>
      <c r="F6" s="10">
        <v>4237</v>
      </c>
      <c r="G6" s="10">
        <v>4384</v>
      </c>
      <c r="H6" s="10">
        <v>4413</v>
      </c>
      <c r="I6" s="10">
        <v>5078</v>
      </c>
      <c r="J6" s="9">
        <v>18112</v>
      </c>
      <c r="K6" s="11">
        <v>3447</v>
      </c>
      <c r="L6" s="11"/>
      <c r="M6" s="11"/>
      <c r="N6" s="11"/>
      <c r="O6" s="9">
        <v>3447</v>
      </c>
      <c r="P6" s="12">
        <v>-0.18645267878215721</v>
      </c>
      <c r="Q6" s="12">
        <v>-0.18645267878215721</v>
      </c>
      <c r="R6" s="13">
        <v>4.0301648544370398E-2</v>
      </c>
    </row>
    <row r="7" spans="1:18" ht="15" customHeight="1" x14ac:dyDescent="0.25">
      <c r="A7" t="s">
        <v>46</v>
      </c>
      <c r="B7" s="9">
        <v>10001</v>
      </c>
      <c r="C7" s="9">
        <v>9636</v>
      </c>
      <c r="D7" s="9">
        <v>12881</v>
      </c>
      <c r="E7" s="9">
        <v>12346</v>
      </c>
      <c r="F7" s="10">
        <v>3062</v>
      </c>
      <c r="G7" s="10">
        <v>2507</v>
      </c>
      <c r="H7" s="10">
        <v>2654</v>
      </c>
      <c r="I7" s="10">
        <v>3281</v>
      </c>
      <c r="J7" s="9">
        <v>11504</v>
      </c>
      <c r="K7" s="11">
        <v>2492</v>
      </c>
      <c r="L7" s="11"/>
      <c r="M7" s="11"/>
      <c r="N7" s="11"/>
      <c r="O7" s="9">
        <v>2492</v>
      </c>
      <c r="P7" s="12">
        <v>-0.18615284128020904</v>
      </c>
      <c r="Q7" s="12">
        <v>-0.18615284128020904</v>
      </c>
      <c r="R7" s="13">
        <v>2.9135975681047584E-2</v>
      </c>
    </row>
    <row r="8" spans="1:18" ht="15" customHeight="1" x14ac:dyDescent="0.25">
      <c r="A8" t="s">
        <v>47</v>
      </c>
      <c r="B8" s="9">
        <v>14349</v>
      </c>
      <c r="C8" s="9">
        <v>14578</v>
      </c>
      <c r="D8" s="9">
        <v>14573</v>
      </c>
      <c r="E8" s="9">
        <v>13385</v>
      </c>
      <c r="F8" s="10">
        <v>2405</v>
      </c>
      <c r="G8" s="10">
        <v>2155</v>
      </c>
      <c r="H8" s="10">
        <v>2975</v>
      </c>
      <c r="I8" s="10">
        <v>3577</v>
      </c>
      <c r="J8" s="9">
        <v>11112</v>
      </c>
      <c r="K8" s="11">
        <v>2927</v>
      </c>
      <c r="L8" s="11"/>
      <c r="M8" s="11"/>
      <c r="N8" s="11"/>
      <c r="O8" s="9">
        <v>2927</v>
      </c>
      <c r="P8" s="12">
        <v>0.21704781704781695</v>
      </c>
      <c r="Q8" s="12">
        <v>0.21704781704781695</v>
      </c>
      <c r="R8" s="13">
        <v>3.422191044078101E-2</v>
      </c>
    </row>
    <row r="9" spans="1:18" ht="15" customHeight="1" x14ac:dyDescent="0.25">
      <c r="A9" t="s">
        <v>48</v>
      </c>
      <c r="B9" s="9">
        <v>3488</v>
      </c>
      <c r="C9" s="9">
        <v>3566</v>
      </c>
      <c r="D9" s="9">
        <v>3267</v>
      </c>
      <c r="E9" s="9">
        <v>3512</v>
      </c>
      <c r="F9" s="10">
        <v>731</v>
      </c>
      <c r="G9" s="10">
        <v>727</v>
      </c>
      <c r="H9" s="10">
        <v>664</v>
      </c>
      <c r="I9" s="10">
        <v>917</v>
      </c>
      <c r="J9" s="9">
        <v>3039</v>
      </c>
      <c r="K9" s="11">
        <v>645</v>
      </c>
      <c r="L9" s="11"/>
      <c r="M9" s="11"/>
      <c r="N9" s="11"/>
      <c r="O9" s="9">
        <v>645</v>
      </c>
      <c r="P9" s="12">
        <v>-0.11764705882352944</v>
      </c>
      <c r="Q9" s="12">
        <v>-0.11764705882352944</v>
      </c>
      <c r="R9" s="13">
        <v>7.5412136092599088E-3</v>
      </c>
    </row>
    <row r="10" spans="1:18" ht="15" customHeight="1" x14ac:dyDescent="0.25">
      <c r="A10" t="s">
        <v>23</v>
      </c>
      <c r="B10" s="9">
        <v>5917</v>
      </c>
      <c r="C10" s="9">
        <v>7466</v>
      </c>
      <c r="D10" s="9">
        <v>10006</v>
      </c>
      <c r="E10" s="9">
        <v>11145</v>
      </c>
      <c r="F10" s="10">
        <v>2721</v>
      </c>
      <c r="G10" s="10">
        <v>2611</v>
      </c>
      <c r="H10" s="10">
        <v>2881</v>
      </c>
      <c r="I10" s="10">
        <v>2616</v>
      </c>
      <c r="J10" s="9">
        <v>10829</v>
      </c>
      <c r="K10" s="11">
        <v>2724</v>
      </c>
      <c r="L10" s="11"/>
      <c r="M10" s="11"/>
      <c r="N10" s="11"/>
      <c r="O10" s="9">
        <v>2724</v>
      </c>
      <c r="P10" s="12">
        <v>1.1025358324145973E-3</v>
      </c>
      <c r="Q10" s="12">
        <v>1.1025358324145973E-3</v>
      </c>
      <c r="R10" s="13">
        <v>3.1848474219572077E-2</v>
      </c>
    </row>
    <row r="11" spans="1:18" ht="15" customHeight="1" x14ac:dyDescent="0.25">
      <c r="A11" t="s">
        <v>49</v>
      </c>
      <c r="B11" s="9">
        <v>6125</v>
      </c>
      <c r="C11" s="9">
        <v>6078</v>
      </c>
      <c r="D11" s="9">
        <v>5993</v>
      </c>
      <c r="E11" s="9">
        <v>7763</v>
      </c>
      <c r="F11" s="10">
        <v>1598</v>
      </c>
      <c r="G11" s="10">
        <v>1447</v>
      </c>
      <c r="H11" s="10">
        <v>1641</v>
      </c>
      <c r="I11" s="10">
        <v>2288</v>
      </c>
      <c r="J11" s="9">
        <v>6974</v>
      </c>
      <c r="K11" s="11">
        <v>1398</v>
      </c>
      <c r="L11" s="11"/>
      <c r="M11" s="11"/>
      <c r="N11" s="11"/>
      <c r="O11" s="9">
        <v>1398</v>
      </c>
      <c r="P11" s="12">
        <v>-0.12515644555694616</v>
      </c>
      <c r="Q11" s="12">
        <v>-0.12515644555694616</v>
      </c>
      <c r="R11" s="13">
        <v>1.6345142055419152E-2</v>
      </c>
    </row>
    <row r="12" spans="1:18" ht="15" customHeight="1" x14ac:dyDescent="0.25">
      <c r="A12" t="s">
        <v>24</v>
      </c>
      <c r="B12" s="9">
        <v>34764</v>
      </c>
      <c r="C12" s="9">
        <v>34837</v>
      </c>
      <c r="D12" s="9">
        <v>35543</v>
      </c>
      <c r="E12" s="9">
        <v>34031</v>
      </c>
      <c r="F12" s="10">
        <v>7251</v>
      </c>
      <c r="G12" s="10">
        <v>6774</v>
      </c>
      <c r="H12" s="10">
        <v>7925</v>
      </c>
      <c r="I12" s="10">
        <v>7412</v>
      </c>
      <c r="J12" s="9">
        <v>29362</v>
      </c>
      <c r="K12" s="11">
        <v>7327</v>
      </c>
      <c r="L12" s="11"/>
      <c r="M12" s="11"/>
      <c r="N12" s="11"/>
      <c r="O12" s="9">
        <v>7327</v>
      </c>
      <c r="P12" s="12">
        <v>1.0481312922355546E-2</v>
      </c>
      <c r="Q12" s="12">
        <v>1.0481312922355546E-2</v>
      </c>
      <c r="R12" s="13">
        <v>8.5665848240383494E-2</v>
      </c>
    </row>
    <row r="13" spans="1:18" ht="15" customHeight="1" x14ac:dyDescent="0.25">
      <c r="A13" t="s">
        <v>25</v>
      </c>
      <c r="B13" s="9">
        <v>51303</v>
      </c>
      <c r="C13" s="9">
        <v>51489</v>
      </c>
      <c r="D13" s="9">
        <v>54678</v>
      </c>
      <c r="E13" s="9">
        <v>56264</v>
      </c>
      <c r="F13" s="10">
        <v>11015</v>
      </c>
      <c r="G13" s="10">
        <v>10831</v>
      </c>
      <c r="H13" s="10">
        <v>13358</v>
      </c>
      <c r="I13" s="10">
        <v>14924</v>
      </c>
      <c r="J13" s="9">
        <v>50128</v>
      </c>
      <c r="K13" s="11">
        <v>12146</v>
      </c>
      <c r="L13" s="11"/>
      <c r="M13" s="11"/>
      <c r="N13" s="11"/>
      <c r="O13" s="9">
        <v>12146</v>
      </c>
      <c r="P13" s="12">
        <v>0.10267816613708569</v>
      </c>
      <c r="Q13" s="12">
        <v>0.10267816613708569</v>
      </c>
      <c r="R13" s="13">
        <v>0.14200865193499357</v>
      </c>
    </row>
    <row r="14" spans="1:18" ht="15" customHeight="1" x14ac:dyDescent="0.25">
      <c r="A14" t="s">
        <v>51</v>
      </c>
      <c r="B14" s="9">
        <v>43519</v>
      </c>
      <c r="C14" s="9">
        <v>45187</v>
      </c>
      <c r="D14" s="9">
        <v>49956</v>
      </c>
      <c r="E14" s="9">
        <v>51941</v>
      </c>
      <c r="F14" s="10">
        <v>11086</v>
      </c>
      <c r="G14" s="10">
        <v>10707</v>
      </c>
      <c r="H14" s="10">
        <v>11930</v>
      </c>
      <c r="I14" s="10">
        <v>11815</v>
      </c>
      <c r="J14" s="9">
        <v>45538</v>
      </c>
      <c r="K14" s="11">
        <v>11170</v>
      </c>
      <c r="L14" s="11"/>
      <c r="M14" s="11"/>
      <c r="N14" s="11"/>
      <c r="O14" s="9">
        <v>11170</v>
      </c>
      <c r="P14" s="12">
        <v>7.5771243009201683E-3</v>
      </c>
      <c r="Q14" s="12">
        <v>7.5771243009201683E-3</v>
      </c>
      <c r="R14" s="13">
        <v>0.13059745118671812</v>
      </c>
    </row>
    <row r="15" spans="1:18" ht="15" customHeight="1" x14ac:dyDescent="0.25">
      <c r="A15" t="s">
        <v>28</v>
      </c>
      <c r="B15" s="9">
        <v>5501</v>
      </c>
      <c r="C15" s="9">
        <v>5324</v>
      </c>
      <c r="D15" s="9">
        <v>5905</v>
      </c>
      <c r="E15" s="9">
        <v>5549</v>
      </c>
      <c r="F15" s="10">
        <v>684</v>
      </c>
      <c r="G15" s="10">
        <v>1099</v>
      </c>
      <c r="H15" s="10">
        <v>1399</v>
      </c>
      <c r="I15" s="10">
        <v>1300</v>
      </c>
      <c r="J15" s="9">
        <v>4482</v>
      </c>
      <c r="K15" s="11">
        <v>1140</v>
      </c>
      <c r="L15" s="11"/>
      <c r="M15" s="11"/>
      <c r="N15" s="11"/>
      <c r="O15" s="9">
        <v>1140</v>
      </c>
      <c r="P15" s="12">
        <v>0.66666666666666674</v>
      </c>
      <c r="Q15" s="12">
        <v>0.66666666666666674</v>
      </c>
      <c r="R15" s="13">
        <v>1.3328656611715188E-2</v>
      </c>
    </row>
    <row r="16" spans="1:18" ht="15" customHeight="1" x14ac:dyDescent="0.25">
      <c r="A16" t="s">
        <v>61</v>
      </c>
      <c r="B16" s="9">
        <v>2735</v>
      </c>
      <c r="C16" s="9">
        <v>2690</v>
      </c>
      <c r="D16" s="9">
        <v>2660</v>
      </c>
      <c r="E16" s="9">
        <v>2823</v>
      </c>
      <c r="F16" s="10">
        <v>824</v>
      </c>
      <c r="G16" s="10">
        <v>779</v>
      </c>
      <c r="H16" s="10">
        <v>1050</v>
      </c>
      <c r="I16" s="10">
        <v>1207</v>
      </c>
      <c r="J16" s="9">
        <v>3860</v>
      </c>
      <c r="K16" s="11">
        <v>1239</v>
      </c>
      <c r="L16" s="11"/>
      <c r="M16" s="11"/>
      <c r="N16" s="11"/>
      <c r="O16" s="9">
        <v>1239</v>
      </c>
      <c r="P16" s="12">
        <v>0.50364077669902918</v>
      </c>
      <c r="Q16" s="12">
        <v>0.50364077669902918</v>
      </c>
      <c r="R16" s="13">
        <v>1.4486145212206243E-2</v>
      </c>
    </row>
    <row r="17" spans="1:18" ht="15" customHeight="1" x14ac:dyDescent="0.25">
      <c r="A17" t="s">
        <v>52</v>
      </c>
      <c r="B17" s="9">
        <v>7598</v>
      </c>
      <c r="C17" s="9">
        <v>7371</v>
      </c>
      <c r="D17" s="9">
        <v>6808</v>
      </c>
      <c r="E17" s="9">
        <v>6880</v>
      </c>
      <c r="F17" s="10">
        <v>1493</v>
      </c>
      <c r="G17" s="10">
        <v>1334</v>
      </c>
      <c r="H17" s="10">
        <v>1564</v>
      </c>
      <c r="I17" s="10">
        <v>1400</v>
      </c>
      <c r="J17" s="9">
        <v>5791</v>
      </c>
      <c r="K17" s="11">
        <v>1232</v>
      </c>
      <c r="L17" s="11"/>
      <c r="M17" s="11"/>
      <c r="N17" s="11"/>
      <c r="O17" s="9">
        <v>1232</v>
      </c>
      <c r="P17" s="12">
        <v>-0.17481580709979905</v>
      </c>
      <c r="Q17" s="12">
        <v>-0.17481580709979905</v>
      </c>
      <c r="R17" s="13">
        <v>1.4404302583888693E-2</v>
      </c>
    </row>
    <row r="18" spans="1:18" ht="15" customHeight="1" x14ac:dyDescent="0.25">
      <c r="A18" t="s">
        <v>62</v>
      </c>
      <c r="B18" s="9">
        <v>6761</v>
      </c>
      <c r="C18" s="9">
        <v>6898</v>
      </c>
      <c r="D18" s="9">
        <v>6931</v>
      </c>
      <c r="E18" s="9">
        <v>6675</v>
      </c>
      <c r="F18" s="10">
        <v>1370</v>
      </c>
      <c r="G18" s="10">
        <v>1426</v>
      </c>
      <c r="H18" s="10">
        <v>1635</v>
      </c>
      <c r="I18" s="10">
        <v>1828</v>
      </c>
      <c r="J18" s="9">
        <v>6259</v>
      </c>
      <c r="K18" s="11">
        <v>1267</v>
      </c>
      <c r="L18" s="11"/>
      <c r="M18" s="11"/>
      <c r="N18" s="11"/>
      <c r="O18" s="9">
        <v>1267</v>
      </c>
      <c r="P18" s="12">
        <v>-7.5182481751824848E-2</v>
      </c>
      <c r="Q18" s="12">
        <v>-7.5182481751824848E-2</v>
      </c>
      <c r="R18" s="13">
        <v>1.481351572547644E-2</v>
      </c>
    </row>
    <row r="19" spans="1:18" ht="15" customHeight="1" x14ac:dyDescent="0.25">
      <c r="A19" t="s">
        <v>53</v>
      </c>
      <c r="B19" s="9">
        <v>10507</v>
      </c>
      <c r="C19" s="9">
        <v>11319</v>
      </c>
      <c r="D19" s="9">
        <v>10920</v>
      </c>
      <c r="E19" s="9">
        <v>10936</v>
      </c>
      <c r="F19" s="10">
        <v>2487</v>
      </c>
      <c r="G19" s="10">
        <v>2340</v>
      </c>
      <c r="H19" s="10">
        <v>2881</v>
      </c>
      <c r="I19" s="10">
        <v>3145</v>
      </c>
      <c r="J19" s="9">
        <v>10853</v>
      </c>
      <c r="K19" s="11">
        <v>2557</v>
      </c>
      <c r="L19" s="11"/>
      <c r="M19" s="11"/>
      <c r="N19" s="11"/>
      <c r="O19" s="9">
        <v>2557</v>
      </c>
      <c r="P19" s="12">
        <v>2.8146361077603599E-2</v>
      </c>
      <c r="Q19" s="12">
        <v>2.8146361077603599E-2</v>
      </c>
      <c r="R19" s="13">
        <v>2.9895942943996258E-2</v>
      </c>
    </row>
    <row r="20" spans="1:18" ht="15" customHeight="1" x14ac:dyDescent="0.25">
      <c r="A20" t="s">
        <v>54</v>
      </c>
      <c r="B20" s="9">
        <v>3001</v>
      </c>
      <c r="C20" s="9">
        <v>2906</v>
      </c>
      <c r="D20" s="9">
        <v>3122</v>
      </c>
      <c r="E20" s="9">
        <v>3011</v>
      </c>
      <c r="F20" s="10">
        <v>358</v>
      </c>
      <c r="G20" s="10">
        <v>448</v>
      </c>
      <c r="H20" s="10">
        <v>466</v>
      </c>
      <c r="I20" s="10">
        <v>708</v>
      </c>
      <c r="J20" s="9">
        <v>1980</v>
      </c>
      <c r="K20" s="11">
        <v>410</v>
      </c>
      <c r="L20" s="11"/>
      <c r="M20" s="11"/>
      <c r="N20" s="11"/>
      <c r="O20" s="9">
        <v>410</v>
      </c>
      <c r="P20" s="12">
        <v>0.14525139664804465</v>
      </c>
      <c r="Q20" s="12">
        <v>0.14525139664804465</v>
      </c>
      <c r="R20" s="13">
        <v>4.7936396585993215E-3</v>
      </c>
    </row>
    <row r="21" spans="1:18" ht="15" customHeight="1" x14ac:dyDescent="0.25">
      <c r="A21" t="s">
        <v>29</v>
      </c>
      <c r="B21" s="9">
        <v>18427</v>
      </c>
      <c r="C21" s="9">
        <v>17275</v>
      </c>
      <c r="D21" s="9">
        <v>18034</v>
      </c>
      <c r="E21" s="9">
        <v>18816</v>
      </c>
      <c r="F21" s="10">
        <v>3516</v>
      </c>
      <c r="G21" s="10">
        <v>4081</v>
      </c>
      <c r="H21" s="10">
        <v>4485</v>
      </c>
      <c r="I21" s="10">
        <v>4565</v>
      </c>
      <c r="J21" s="9">
        <v>16647</v>
      </c>
      <c r="K21" s="11">
        <v>3523</v>
      </c>
      <c r="L21" s="11"/>
      <c r="M21" s="11"/>
      <c r="N21" s="11"/>
      <c r="O21" s="9">
        <v>3523</v>
      </c>
      <c r="P21" s="12">
        <v>1.9908987485779406E-3</v>
      </c>
      <c r="Q21" s="12">
        <v>1.9908987485779406E-3</v>
      </c>
      <c r="R21" s="13">
        <v>4.1190225651818076E-2</v>
      </c>
    </row>
    <row r="22" spans="1:18" ht="15" customHeight="1" x14ac:dyDescent="0.25">
      <c r="A22" t="s">
        <v>30</v>
      </c>
      <c r="B22" s="9">
        <v>585</v>
      </c>
      <c r="C22" s="9">
        <v>585</v>
      </c>
      <c r="D22" s="9">
        <v>584</v>
      </c>
      <c r="E22" s="9">
        <v>599</v>
      </c>
      <c r="F22" s="10">
        <v>139</v>
      </c>
      <c r="G22" s="10">
        <v>148</v>
      </c>
      <c r="H22" s="10">
        <v>137</v>
      </c>
      <c r="I22" s="10">
        <v>133</v>
      </c>
      <c r="J22" s="9">
        <v>557</v>
      </c>
      <c r="K22" s="11">
        <v>122</v>
      </c>
      <c r="L22" s="11"/>
      <c r="M22" s="11"/>
      <c r="N22" s="11"/>
      <c r="O22" s="9">
        <v>122</v>
      </c>
      <c r="P22" s="12">
        <v>-0.12230215827338131</v>
      </c>
      <c r="Q22" s="12">
        <v>-0.12230215827338131</v>
      </c>
      <c r="R22" s="13">
        <v>1.4264000935344323E-3</v>
      </c>
    </row>
    <row r="23" spans="1:18" ht="15" customHeight="1" x14ac:dyDescent="0.25">
      <c r="A23" t="s">
        <v>63</v>
      </c>
      <c r="B23" s="9">
        <v>101310</v>
      </c>
      <c r="C23" s="9">
        <v>100650</v>
      </c>
      <c r="D23" s="9">
        <v>97327</v>
      </c>
      <c r="E23" s="9">
        <v>98543</v>
      </c>
      <c r="F23" s="10">
        <v>24067</v>
      </c>
      <c r="G23" s="10">
        <v>21858</v>
      </c>
      <c r="H23" s="10">
        <v>24091</v>
      </c>
      <c r="I23" s="10">
        <v>24275</v>
      </c>
      <c r="J23" s="9">
        <v>94291</v>
      </c>
      <c r="K23" s="11">
        <v>19050</v>
      </c>
      <c r="L23" s="11"/>
      <c r="M23" s="11"/>
      <c r="N23" s="11"/>
      <c r="O23" s="9">
        <v>19050</v>
      </c>
      <c r="P23" s="12">
        <v>-0.20845971662442353</v>
      </c>
      <c r="Q23" s="12">
        <v>-0.20845971662442353</v>
      </c>
      <c r="R23" s="13">
        <v>0.22272886706418801</v>
      </c>
    </row>
    <row r="24" spans="1:18" ht="15" customHeight="1" x14ac:dyDescent="0.25">
      <c r="A24" t="s">
        <v>55</v>
      </c>
      <c r="B24" s="9">
        <v>1576</v>
      </c>
      <c r="C24" s="9">
        <v>1132</v>
      </c>
      <c r="D24" s="9">
        <v>952</v>
      </c>
      <c r="E24" s="9">
        <v>717</v>
      </c>
      <c r="F24" s="10">
        <v>204</v>
      </c>
      <c r="G24" s="10">
        <v>174</v>
      </c>
      <c r="H24" s="10">
        <v>167</v>
      </c>
      <c r="I24" s="10">
        <v>151</v>
      </c>
      <c r="J24" s="9">
        <v>696</v>
      </c>
      <c r="K24" s="11">
        <v>190</v>
      </c>
      <c r="L24" s="11"/>
      <c r="M24" s="11"/>
      <c r="N24" s="11"/>
      <c r="O24" s="9">
        <v>190</v>
      </c>
      <c r="P24" s="12">
        <v>-6.8627450980392135E-2</v>
      </c>
      <c r="Q24" s="12">
        <v>-6.8627450980392135E-2</v>
      </c>
      <c r="R24" s="13">
        <v>2.2214427686191979E-3</v>
      </c>
    </row>
    <row r="25" spans="1:18" ht="15" customHeight="1" x14ac:dyDescent="0.25">
      <c r="A25" t="s">
        <v>33</v>
      </c>
      <c r="B25" s="9">
        <v>38141</v>
      </c>
      <c r="C25" s="9">
        <v>37583</v>
      </c>
      <c r="D25" s="9">
        <v>36685</v>
      </c>
      <c r="E25" s="9">
        <v>36454</v>
      </c>
      <c r="F25" s="10">
        <v>6315</v>
      </c>
      <c r="G25" s="10">
        <v>7597</v>
      </c>
      <c r="H25" s="10">
        <v>7205</v>
      </c>
      <c r="I25" s="10">
        <v>7934</v>
      </c>
      <c r="J25" s="9">
        <v>29051</v>
      </c>
      <c r="K25" s="11">
        <v>7614</v>
      </c>
      <c r="L25" s="11"/>
      <c r="M25" s="11"/>
      <c r="N25" s="11"/>
      <c r="O25" s="9">
        <v>7614</v>
      </c>
      <c r="P25" s="12">
        <v>0.20570071258907374</v>
      </c>
      <c r="Q25" s="12">
        <v>0.20570071258907374</v>
      </c>
      <c r="R25" s="13">
        <v>8.9021396001403019E-2</v>
      </c>
    </row>
    <row r="26" spans="1:18" ht="15" customHeight="1" x14ac:dyDescent="0.25">
      <c r="A26" t="s">
        <v>64</v>
      </c>
      <c r="B26" s="9">
        <v>4513</v>
      </c>
      <c r="C26" s="9">
        <v>4422</v>
      </c>
      <c r="D26" s="9">
        <v>1154</v>
      </c>
      <c r="E26" s="9">
        <v>639</v>
      </c>
      <c r="F26" s="10">
        <v>590</v>
      </c>
      <c r="G26" s="10">
        <v>403</v>
      </c>
      <c r="H26" s="10">
        <v>442</v>
      </c>
      <c r="I26" s="10">
        <v>669</v>
      </c>
      <c r="J26" s="9">
        <v>2104</v>
      </c>
      <c r="K26" s="11">
        <v>651</v>
      </c>
      <c r="L26" s="11"/>
      <c r="M26" s="11"/>
      <c r="N26" s="11"/>
      <c r="O26" s="9">
        <v>651</v>
      </c>
      <c r="P26" s="12">
        <v>0.10338983050847461</v>
      </c>
      <c r="Q26" s="12">
        <v>0.10338983050847461</v>
      </c>
      <c r="R26" s="13">
        <v>7.6113644335320937E-3</v>
      </c>
    </row>
    <row r="27" spans="1:18" ht="15" customHeight="1" x14ac:dyDescent="0.25">
      <c r="A27" t="s">
        <v>56</v>
      </c>
      <c r="B27" s="9">
        <v>1139</v>
      </c>
      <c r="C27" s="9">
        <v>962</v>
      </c>
      <c r="D27" s="9">
        <v>958</v>
      </c>
      <c r="E27" s="9">
        <v>947</v>
      </c>
      <c r="F27" s="10">
        <v>220</v>
      </c>
      <c r="G27" s="10">
        <v>212</v>
      </c>
      <c r="H27" s="10">
        <v>181</v>
      </c>
      <c r="I27" s="10">
        <v>241</v>
      </c>
      <c r="J27" s="9">
        <v>854</v>
      </c>
      <c r="K27" s="11">
        <v>210</v>
      </c>
      <c r="L27" s="11"/>
      <c r="M27" s="11"/>
      <c r="N27" s="11"/>
      <c r="O27" s="9">
        <v>210</v>
      </c>
      <c r="P27" s="12">
        <v>-4.5454545454545414E-2</v>
      </c>
      <c r="Q27" s="12">
        <v>-4.5454545454545414E-2</v>
      </c>
      <c r="R27" s="13">
        <v>2.4552788495264821E-3</v>
      </c>
    </row>
    <row r="28" spans="1:18" ht="15" customHeight="1" x14ac:dyDescent="0.25">
      <c r="A28" t="s">
        <v>34</v>
      </c>
      <c r="B28" s="9">
        <v>8687</v>
      </c>
      <c r="C28" s="9">
        <v>7683</v>
      </c>
      <c r="D28" s="9">
        <v>7309</v>
      </c>
      <c r="E28" s="9">
        <v>8010</v>
      </c>
      <c r="F28" s="10">
        <v>1784</v>
      </c>
      <c r="G28" s="10">
        <v>1869</v>
      </c>
      <c r="H28" s="10">
        <v>1842</v>
      </c>
      <c r="I28" s="10">
        <v>1959</v>
      </c>
      <c r="J28" s="9">
        <v>7454</v>
      </c>
      <c r="K28" s="11">
        <v>1134</v>
      </c>
      <c r="L28" s="11"/>
      <c r="M28" s="11"/>
      <c r="N28" s="11"/>
      <c r="O28" s="9">
        <v>1134</v>
      </c>
      <c r="P28" s="12">
        <v>-0.36434977578475336</v>
      </c>
      <c r="Q28" s="12">
        <v>-0.36434977578475336</v>
      </c>
      <c r="R28" s="13">
        <v>1.3258505787443002E-2</v>
      </c>
    </row>
    <row r="29" spans="1:18" ht="15" customHeight="1" x14ac:dyDescent="0.25">
      <c r="A29" t="s">
        <v>35</v>
      </c>
      <c r="B29" s="9">
        <f>SUBTOTAL(109,Tabell_Storb[2021])</f>
        <v>399962</v>
      </c>
      <c r="C29" s="9">
        <f>SUBTOTAL(109,Tabell_Storb[2022])</f>
        <v>400216</v>
      </c>
      <c r="D29" s="9">
        <f>SUBTOTAL(109,Tabell_Storb[2023])</f>
        <v>409803</v>
      </c>
      <c r="E29" s="9">
        <f>SUBTOTAL(109,Tabell_Storb[2024])</f>
        <v>414259</v>
      </c>
      <c r="F29" s="9">
        <f>SUBTOTAL(109,Tabell_Storb[Kvartal 1 2025])</f>
        <v>89102</v>
      </c>
      <c r="G29" s="9">
        <f>SUBTOTAL(109,Tabell_Storb[Kvartal 2 2025])</f>
        <v>86853</v>
      </c>
      <c r="H29" s="9">
        <f>SUBTOTAL(109,Tabell_Storb[Kvartal 3 2025])</f>
        <v>96973</v>
      </c>
      <c r="I29" s="9">
        <f>SUBTOTAL(109,Tabell_Storb[Kvartal 4 2025])</f>
        <v>102667</v>
      </c>
      <c r="J29" s="9">
        <f>SUBTOTAL(109,Tabell_Storb[2025])</f>
        <v>375595</v>
      </c>
      <c r="K29" s="9">
        <f>SUBTOTAL(109,Tabell_Storb[Kvartal 1 2026])</f>
        <v>85530</v>
      </c>
      <c r="L29" s="9">
        <f>SUBTOTAL(109,Tabell_Storb[Kvartal 2 2026])</f>
        <v>0</v>
      </c>
      <c r="M29" s="9">
        <f>SUBTOTAL(109,Tabell_Storb[Kvartal 3 2026])</f>
        <v>0</v>
      </c>
      <c r="N29" s="9">
        <f>SUBTOTAL(109,Tabell_Storb[Kvartal 4 2026])</f>
        <v>0</v>
      </c>
      <c r="O29" s="9">
        <f>SUBTOTAL(109,Tabell_Storb[2026])</f>
        <v>85530</v>
      </c>
      <c r="P29" s="15">
        <f>K29/F29-1</f>
        <v>-4.0088886893672404E-2</v>
      </c>
      <c r="Q29" s="15">
        <f>O29/SUM(F29:F29)-1</f>
        <v>-4.0088886893672404E-2</v>
      </c>
      <c r="R29" s="13">
        <f>SUBTOTAL(109,Tabell_Storb[Procentuell andel 2026*])</f>
        <v>1</v>
      </c>
    </row>
    <row r="30" spans="1:18" ht="15" customHeight="1" x14ac:dyDescent="0.25">
      <c r="A30" t="s">
        <v>65</v>
      </c>
    </row>
    <row r="31" spans="1:18" ht="15" customHeight="1" x14ac:dyDescent="0.25">
      <c r="A31" t="s">
        <v>37</v>
      </c>
    </row>
    <row r="32" spans="1:18" ht="15" customHeight="1" x14ac:dyDescent="0.25">
      <c r="A32" t="s">
        <v>66</v>
      </c>
    </row>
    <row r="33" spans="1:1" ht="15" customHeight="1" x14ac:dyDescent="0.25">
      <c r="A33" t="s">
        <v>39</v>
      </c>
    </row>
    <row r="34" spans="1:1" ht="15" customHeight="1" x14ac:dyDescent="0.25"/>
    <row r="35" spans="1:1" ht="15" customHeight="1" x14ac:dyDescent="0.25"/>
    <row r="36" spans="1:1" ht="15" customHeight="1" x14ac:dyDescent="0.25"/>
    <row r="37" spans="1:1" ht="15" customHeight="1" x14ac:dyDescent="0.25"/>
    <row r="38" spans="1:1" ht="15" customHeight="1" x14ac:dyDescent="0.25"/>
    <row r="39" spans="1:1" ht="15" customHeight="1" x14ac:dyDescent="0.25"/>
    <row r="40" spans="1:1" ht="15" customHeight="1" x14ac:dyDescent="0.25"/>
    <row r="41" spans="1:1" ht="15" customHeight="1" x14ac:dyDescent="0.25"/>
    <row r="42" spans="1:1" ht="15" customHeight="1" x14ac:dyDescent="0.25"/>
    <row r="43" spans="1:1" ht="15" customHeight="1" x14ac:dyDescent="0.25"/>
    <row r="44" spans="1:1" ht="15" customHeight="1" x14ac:dyDescent="0.25"/>
    <row r="45" spans="1:1" ht="15" customHeight="1" x14ac:dyDescent="0.25"/>
    <row r="46" spans="1:1" ht="15" customHeight="1" x14ac:dyDescent="0.25"/>
    <row r="47" spans="1:1" ht="15" customHeight="1" x14ac:dyDescent="0.25"/>
    <row r="48" spans="1: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8D3B-EF80-4539-A2F4-F637D1602092}">
  <sheetPr codeName="flFår">
    <pageSetUpPr fitToPage="1"/>
  </sheetPr>
  <dimension ref="A1:R92"/>
  <sheetViews>
    <sheetView workbookViewId="0">
      <selection activeCell="A2" sqref="A2"/>
    </sheetView>
  </sheetViews>
  <sheetFormatPr defaultColWidth="9.140625" defaultRowHeight="12" x14ac:dyDescent="0.2"/>
  <cols>
    <col min="1" max="1" width="27" style="17" customWidth="1"/>
    <col min="2" max="15" width="8.28515625" style="17" customWidth="1"/>
    <col min="16" max="16" width="9.28515625" style="17" customWidth="1"/>
    <col min="17" max="17" width="10.140625" style="17" customWidth="1"/>
    <col min="18" max="18" width="10" style="17" customWidth="1"/>
    <col min="19" max="16384" width="9.140625" style="17"/>
  </cols>
  <sheetData>
    <row r="1" spans="1:18" ht="92.25" customHeight="1" x14ac:dyDescent="0.25">
      <c r="A1" s="1" t="s">
        <v>67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25">
      <c r="A3" t="s">
        <v>68</v>
      </c>
      <c r="B3" s="9">
        <v>3087</v>
      </c>
      <c r="C3" s="9">
        <v>2875</v>
      </c>
      <c r="D3" s="9">
        <v>1509</v>
      </c>
      <c r="E3" s="9">
        <v>1420</v>
      </c>
      <c r="F3" s="10">
        <v>242</v>
      </c>
      <c r="G3" s="10">
        <v>528</v>
      </c>
      <c r="H3" s="10">
        <v>383</v>
      </c>
      <c r="I3" s="10">
        <v>371</v>
      </c>
      <c r="J3" s="9">
        <v>1524</v>
      </c>
      <c r="K3" s="11">
        <v>409</v>
      </c>
      <c r="L3" s="11"/>
      <c r="M3" s="11"/>
      <c r="N3" s="11"/>
      <c r="O3" s="9">
        <v>409</v>
      </c>
      <c r="P3" s="12">
        <v>0.69008264462809921</v>
      </c>
      <c r="Q3" s="12">
        <v>0.69008264462809921</v>
      </c>
      <c r="R3" s="13">
        <v>1.2060271872143426E-2</v>
      </c>
    </row>
    <row r="4" spans="1:18" ht="15" customHeight="1" x14ac:dyDescent="0.25">
      <c r="A4" t="s">
        <v>41</v>
      </c>
      <c r="B4" s="9">
        <v>1923</v>
      </c>
      <c r="C4" s="9">
        <v>1715</v>
      </c>
      <c r="D4" s="9">
        <v>1854</v>
      </c>
      <c r="E4" s="9">
        <v>1481</v>
      </c>
      <c r="F4" s="10">
        <v>264</v>
      </c>
      <c r="G4" s="10">
        <v>163</v>
      </c>
      <c r="H4" s="10">
        <v>397</v>
      </c>
      <c r="I4" s="10">
        <v>558</v>
      </c>
      <c r="J4" s="9">
        <v>1382</v>
      </c>
      <c r="K4" s="11">
        <v>163</v>
      </c>
      <c r="L4" s="11"/>
      <c r="M4" s="11"/>
      <c r="N4" s="11"/>
      <c r="O4" s="9">
        <v>163</v>
      </c>
      <c r="P4" s="12">
        <v>-0.38257575757575757</v>
      </c>
      <c r="Q4" s="12">
        <v>-0.38257575757575757</v>
      </c>
      <c r="R4" s="13">
        <v>4.806416418482588E-3</v>
      </c>
    </row>
    <row r="5" spans="1:18" ht="15" customHeight="1" x14ac:dyDescent="0.25">
      <c r="A5" t="s">
        <v>21</v>
      </c>
      <c r="B5" s="9">
        <v>921</v>
      </c>
      <c r="C5" s="9">
        <v>758</v>
      </c>
      <c r="D5" s="9">
        <v>754</v>
      </c>
      <c r="E5" s="9">
        <v>645</v>
      </c>
      <c r="F5" s="10">
        <v>15</v>
      </c>
      <c r="G5" s="10">
        <v>120</v>
      </c>
      <c r="H5" s="10">
        <v>219</v>
      </c>
      <c r="I5" s="10">
        <v>304</v>
      </c>
      <c r="J5" s="9">
        <v>658</v>
      </c>
      <c r="K5" s="11">
        <v>72</v>
      </c>
      <c r="L5" s="11"/>
      <c r="M5" s="11"/>
      <c r="N5" s="11"/>
      <c r="O5" s="9">
        <v>72</v>
      </c>
      <c r="P5" s="12">
        <v>3.8</v>
      </c>
      <c r="Q5" s="12">
        <v>3.8</v>
      </c>
      <c r="R5" s="13">
        <v>2.1230796449739037E-3</v>
      </c>
    </row>
    <row r="6" spans="1:18" ht="15" customHeight="1" x14ac:dyDescent="0.25">
      <c r="A6" t="s">
        <v>44</v>
      </c>
      <c r="B6" s="9">
        <v>1234</v>
      </c>
      <c r="C6" s="9">
        <v>1885</v>
      </c>
      <c r="D6" s="9">
        <v>2298</v>
      </c>
      <c r="E6" s="9">
        <v>1678</v>
      </c>
      <c r="F6" s="10">
        <v>153</v>
      </c>
      <c r="G6" s="10">
        <v>114</v>
      </c>
      <c r="H6" s="10">
        <v>373</v>
      </c>
      <c r="I6" s="10">
        <v>812</v>
      </c>
      <c r="J6" s="9">
        <v>1452</v>
      </c>
      <c r="K6" s="11">
        <v>318</v>
      </c>
      <c r="L6" s="11"/>
      <c r="M6" s="11"/>
      <c r="N6" s="11"/>
      <c r="O6" s="9">
        <v>318</v>
      </c>
      <c r="P6" s="12">
        <v>1.0784313725490198</v>
      </c>
      <c r="Q6" s="12">
        <v>1.0784313725490198</v>
      </c>
      <c r="R6" s="13">
        <v>9.3769350986347422E-3</v>
      </c>
    </row>
    <row r="7" spans="1:18" ht="15" customHeight="1" x14ac:dyDescent="0.25">
      <c r="A7" t="s">
        <v>46</v>
      </c>
      <c r="B7" s="9">
        <v>4381</v>
      </c>
      <c r="C7" s="9">
        <v>5280</v>
      </c>
      <c r="D7" s="9">
        <v>5505</v>
      </c>
      <c r="E7" s="9">
        <v>5290</v>
      </c>
      <c r="F7" s="10">
        <v>628</v>
      </c>
      <c r="G7" s="10">
        <v>733</v>
      </c>
      <c r="H7" s="10">
        <v>937</v>
      </c>
      <c r="I7" s="10">
        <v>1356</v>
      </c>
      <c r="J7" s="9">
        <v>3654</v>
      </c>
      <c r="K7" s="11">
        <v>732</v>
      </c>
      <c r="L7" s="11"/>
      <c r="M7" s="11"/>
      <c r="N7" s="11"/>
      <c r="O7" s="9">
        <v>732</v>
      </c>
      <c r="P7" s="12">
        <v>0.16560509554140124</v>
      </c>
      <c r="Q7" s="12">
        <v>0.16560509554140124</v>
      </c>
      <c r="R7" s="13">
        <v>2.158464305723469E-2</v>
      </c>
    </row>
    <row r="8" spans="1:18" ht="15" customHeight="1" x14ac:dyDescent="0.25">
      <c r="A8" t="s">
        <v>48</v>
      </c>
      <c r="B8" s="9">
        <v>1135</v>
      </c>
      <c r="C8" s="9">
        <v>1107</v>
      </c>
      <c r="D8" s="9">
        <v>1035</v>
      </c>
      <c r="E8" s="9">
        <v>860</v>
      </c>
      <c r="F8" s="10">
        <v>203</v>
      </c>
      <c r="G8" s="10">
        <v>170</v>
      </c>
      <c r="H8" s="10">
        <v>323</v>
      </c>
      <c r="I8" s="10">
        <v>166</v>
      </c>
      <c r="J8" s="9">
        <v>862</v>
      </c>
      <c r="K8" s="11">
        <v>201</v>
      </c>
      <c r="L8" s="11"/>
      <c r="M8" s="11"/>
      <c r="N8" s="11"/>
      <c r="O8" s="9">
        <v>201</v>
      </c>
      <c r="P8" s="12">
        <v>-9.8522167487684609E-3</v>
      </c>
      <c r="Q8" s="12">
        <v>-9.8522167487684609E-3</v>
      </c>
      <c r="R8" s="13">
        <v>5.9269306755521485E-3</v>
      </c>
    </row>
    <row r="9" spans="1:18" ht="15" customHeight="1" x14ac:dyDescent="0.25">
      <c r="A9" t="s">
        <v>23</v>
      </c>
      <c r="B9" s="9">
        <v>1017</v>
      </c>
      <c r="C9" s="9">
        <v>1546</v>
      </c>
      <c r="D9" s="9">
        <v>2022</v>
      </c>
      <c r="E9" s="9">
        <v>2215</v>
      </c>
      <c r="F9" s="10">
        <v>290</v>
      </c>
      <c r="G9" s="10">
        <v>595</v>
      </c>
      <c r="H9" s="10">
        <v>803</v>
      </c>
      <c r="I9" s="10">
        <v>771</v>
      </c>
      <c r="J9" s="9">
        <v>2459</v>
      </c>
      <c r="K9" s="11">
        <v>555</v>
      </c>
      <c r="L9" s="11"/>
      <c r="M9" s="11"/>
      <c r="N9" s="11"/>
      <c r="O9" s="9">
        <v>555</v>
      </c>
      <c r="P9" s="12">
        <v>0.9137931034482758</v>
      </c>
      <c r="Q9" s="12">
        <v>0.9137931034482758</v>
      </c>
      <c r="R9" s="13">
        <v>1.6365405596673842E-2</v>
      </c>
    </row>
    <row r="10" spans="1:18" ht="15" customHeight="1" x14ac:dyDescent="0.25">
      <c r="A10" t="s">
        <v>49</v>
      </c>
      <c r="B10" s="9">
        <v>1716</v>
      </c>
      <c r="C10" s="9">
        <v>1512</v>
      </c>
      <c r="D10" s="9">
        <v>1534</v>
      </c>
      <c r="E10" s="9">
        <v>1928</v>
      </c>
      <c r="F10" s="10">
        <v>261</v>
      </c>
      <c r="G10" s="10">
        <v>216</v>
      </c>
      <c r="H10" s="10">
        <v>442</v>
      </c>
      <c r="I10" s="10">
        <v>722</v>
      </c>
      <c r="J10" s="9">
        <v>1641</v>
      </c>
      <c r="K10" s="11">
        <v>306</v>
      </c>
      <c r="L10" s="11"/>
      <c r="M10" s="11"/>
      <c r="N10" s="11"/>
      <c r="O10" s="9">
        <v>306</v>
      </c>
      <c r="P10" s="12">
        <v>0.17241379310344818</v>
      </c>
      <c r="Q10" s="12">
        <v>0.17241379310344818</v>
      </c>
      <c r="R10" s="13">
        <v>9.0230884911390915E-3</v>
      </c>
    </row>
    <row r="11" spans="1:18" ht="15" customHeight="1" x14ac:dyDescent="0.25">
      <c r="A11" t="s">
        <v>25</v>
      </c>
      <c r="B11" s="9">
        <v>21982</v>
      </c>
      <c r="C11" s="9">
        <v>33808</v>
      </c>
      <c r="D11" s="9">
        <v>27525</v>
      </c>
      <c r="E11" s="9">
        <v>23065</v>
      </c>
      <c r="F11" s="10">
        <v>3585</v>
      </c>
      <c r="G11" s="10">
        <v>6872</v>
      </c>
      <c r="H11" s="10">
        <v>6295</v>
      </c>
      <c r="I11" s="10">
        <v>8114</v>
      </c>
      <c r="J11" s="9">
        <v>24866</v>
      </c>
      <c r="K11" s="11">
        <v>5169</v>
      </c>
      <c r="L11" s="11"/>
      <c r="M11" s="11"/>
      <c r="N11" s="11"/>
      <c r="O11" s="9">
        <v>5169</v>
      </c>
      <c r="P11" s="12">
        <v>0.44184100418410033</v>
      </c>
      <c r="Q11" s="12">
        <v>0.44184100418410033</v>
      </c>
      <c r="R11" s="13">
        <v>0.15241942617875151</v>
      </c>
    </row>
    <row r="12" spans="1:18" ht="15" customHeight="1" x14ac:dyDescent="0.25">
      <c r="A12" t="s">
        <v>51</v>
      </c>
      <c r="B12" s="9">
        <v>11988</v>
      </c>
      <c r="C12" s="9">
        <v>4730</v>
      </c>
      <c r="D12" s="9">
        <v>14928</v>
      </c>
      <c r="E12" s="9">
        <v>16534</v>
      </c>
      <c r="F12" s="10">
        <v>2785</v>
      </c>
      <c r="G12" s="10">
        <v>4795</v>
      </c>
      <c r="H12" s="10">
        <v>4756</v>
      </c>
      <c r="I12" s="10">
        <v>5123</v>
      </c>
      <c r="J12" s="9">
        <v>17459</v>
      </c>
      <c r="K12" s="11">
        <v>4082</v>
      </c>
      <c r="L12" s="11"/>
      <c r="M12" s="11"/>
      <c r="N12" s="11"/>
      <c r="O12" s="9">
        <v>4082</v>
      </c>
      <c r="P12" s="12">
        <v>0.46570915619389597</v>
      </c>
      <c r="Q12" s="12">
        <v>0.46570915619389597</v>
      </c>
      <c r="R12" s="13">
        <v>0.12036682098310382</v>
      </c>
    </row>
    <row r="13" spans="1:18" ht="15" customHeight="1" x14ac:dyDescent="0.25">
      <c r="A13" t="s">
        <v>69</v>
      </c>
      <c r="B13" s="9">
        <v>542</v>
      </c>
      <c r="C13" s="9">
        <v>188</v>
      </c>
      <c r="D13" s="9">
        <v>144</v>
      </c>
      <c r="E13" s="9">
        <v>204</v>
      </c>
      <c r="F13" s="10">
        <v>18</v>
      </c>
      <c r="G13" s="10">
        <v>36</v>
      </c>
      <c r="H13" s="10">
        <v>53</v>
      </c>
      <c r="I13" s="10">
        <v>108</v>
      </c>
      <c r="J13" s="9">
        <v>215</v>
      </c>
      <c r="K13" s="11">
        <v>45</v>
      </c>
      <c r="L13" s="11"/>
      <c r="M13" s="11"/>
      <c r="N13" s="11"/>
      <c r="O13" s="9">
        <v>45</v>
      </c>
      <c r="P13" s="12">
        <v>1.5</v>
      </c>
      <c r="Q13" s="12">
        <v>1.5</v>
      </c>
      <c r="R13" s="13">
        <v>1.3269247781086898E-3</v>
      </c>
    </row>
    <row r="14" spans="1:18" ht="15" customHeight="1" x14ac:dyDescent="0.25">
      <c r="A14" t="s">
        <v>70</v>
      </c>
      <c r="B14" s="9">
        <v>5662</v>
      </c>
      <c r="C14" s="9">
        <v>6303</v>
      </c>
      <c r="D14" s="9">
        <v>6801</v>
      </c>
      <c r="E14" s="9">
        <v>5880</v>
      </c>
      <c r="F14" s="10">
        <v>466</v>
      </c>
      <c r="G14" s="10">
        <v>796</v>
      </c>
      <c r="H14" s="10">
        <v>1463</v>
      </c>
      <c r="I14" s="10">
        <v>2737</v>
      </c>
      <c r="J14" s="9">
        <v>5462</v>
      </c>
      <c r="K14" s="11">
        <v>483</v>
      </c>
      <c r="L14" s="11"/>
      <c r="M14" s="11"/>
      <c r="N14" s="11"/>
      <c r="O14" s="9">
        <v>483</v>
      </c>
      <c r="P14" s="12">
        <v>3.648068669527893E-2</v>
      </c>
      <c r="Q14" s="12">
        <v>3.648068669527893E-2</v>
      </c>
      <c r="R14" s="13">
        <v>1.4242325951699938E-2</v>
      </c>
    </row>
    <row r="15" spans="1:18" ht="15" customHeight="1" x14ac:dyDescent="0.25">
      <c r="A15" t="s">
        <v>52</v>
      </c>
      <c r="B15" s="9">
        <v>3102</v>
      </c>
      <c r="C15" s="9">
        <v>3271</v>
      </c>
      <c r="D15" s="9">
        <v>3032</v>
      </c>
      <c r="E15" s="9">
        <v>3049</v>
      </c>
      <c r="F15" s="10">
        <v>297</v>
      </c>
      <c r="G15" s="10">
        <v>215</v>
      </c>
      <c r="H15" s="10">
        <v>770</v>
      </c>
      <c r="I15" s="10">
        <v>1244</v>
      </c>
      <c r="J15" s="9">
        <v>2526</v>
      </c>
      <c r="K15" s="11">
        <v>220</v>
      </c>
      <c r="L15" s="11"/>
      <c r="M15" s="11"/>
      <c r="N15" s="11"/>
      <c r="O15" s="9">
        <v>220</v>
      </c>
      <c r="P15" s="12">
        <v>-0.2592592592592593</v>
      </c>
      <c r="Q15" s="12">
        <v>-0.2592592592592593</v>
      </c>
      <c r="R15" s="13">
        <v>6.4871878040869283E-3</v>
      </c>
    </row>
    <row r="16" spans="1:18" ht="15" customHeight="1" x14ac:dyDescent="0.25">
      <c r="A16" t="s">
        <v>29</v>
      </c>
      <c r="B16" s="9">
        <v>29622</v>
      </c>
      <c r="C16" s="9">
        <v>28380</v>
      </c>
      <c r="D16" s="9">
        <v>30261</v>
      </c>
      <c r="E16" s="9">
        <v>27044</v>
      </c>
      <c r="F16" s="10">
        <v>5227</v>
      </c>
      <c r="G16" s="10">
        <v>6244</v>
      </c>
      <c r="H16" s="10">
        <v>7622</v>
      </c>
      <c r="I16" s="10">
        <v>8540</v>
      </c>
      <c r="J16" s="9">
        <v>27633</v>
      </c>
      <c r="K16" s="11">
        <v>4730</v>
      </c>
      <c r="L16" s="11"/>
      <c r="M16" s="11"/>
      <c r="N16" s="11"/>
      <c r="O16" s="9">
        <v>4730</v>
      </c>
      <c r="P16" s="12">
        <v>-9.5083221733307854E-2</v>
      </c>
      <c r="Q16" s="12">
        <v>-9.5083221733307854E-2</v>
      </c>
      <c r="R16" s="13">
        <v>0.13947453778786895</v>
      </c>
    </row>
    <row r="17" spans="1:18" ht="15" customHeight="1" x14ac:dyDescent="0.25">
      <c r="A17" t="s">
        <v>30</v>
      </c>
      <c r="B17" s="9">
        <v>3443</v>
      </c>
      <c r="C17" s="9">
        <v>3344</v>
      </c>
      <c r="D17" s="9">
        <v>3441</v>
      </c>
      <c r="E17" s="9">
        <v>2449</v>
      </c>
      <c r="F17" s="10">
        <v>778</v>
      </c>
      <c r="G17" s="10">
        <v>523</v>
      </c>
      <c r="H17" s="10">
        <v>708</v>
      </c>
      <c r="I17" s="10">
        <v>603</v>
      </c>
      <c r="J17" s="9">
        <v>2612</v>
      </c>
      <c r="K17" s="11">
        <v>655</v>
      </c>
      <c r="L17" s="11"/>
      <c r="M17" s="11"/>
      <c r="N17" s="11"/>
      <c r="O17" s="9">
        <v>655</v>
      </c>
      <c r="P17" s="12">
        <v>-0.15809768637532129</v>
      </c>
      <c r="Q17" s="12">
        <v>-0.15809768637532129</v>
      </c>
      <c r="R17" s="13">
        <v>1.9314127325804262E-2</v>
      </c>
    </row>
    <row r="18" spans="1:18" ht="15" customHeight="1" x14ac:dyDescent="0.25">
      <c r="A18" t="s">
        <v>31</v>
      </c>
      <c r="B18" s="9">
        <v>2344</v>
      </c>
      <c r="C18" s="9">
        <v>2966</v>
      </c>
      <c r="D18" s="9">
        <v>3710</v>
      </c>
      <c r="E18" s="9">
        <v>3362</v>
      </c>
      <c r="F18" s="10">
        <v>363</v>
      </c>
      <c r="G18" s="10">
        <v>273</v>
      </c>
      <c r="H18" s="10">
        <v>759</v>
      </c>
      <c r="I18" s="10">
        <v>1483</v>
      </c>
      <c r="J18" s="9">
        <v>2878</v>
      </c>
      <c r="K18" s="11">
        <v>632</v>
      </c>
      <c r="L18" s="11"/>
      <c r="M18" s="11"/>
      <c r="N18" s="11"/>
      <c r="O18" s="9">
        <v>632</v>
      </c>
      <c r="P18" s="12">
        <v>0.74104683195592291</v>
      </c>
      <c r="Q18" s="12">
        <v>0.74104683195592291</v>
      </c>
      <c r="R18" s="13">
        <v>1.8635921328104266E-2</v>
      </c>
    </row>
    <row r="19" spans="1:18" ht="15" customHeight="1" x14ac:dyDescent="0.25">
      <c r="A19" t="s">
        <v>63</v>
      </c>
      <c r="B19" s="9">
        <v>87156</v>
      </c>
      <c r="C19" s="9">
        <v>84407</v>
      </c>
      <c r="D19" s="9">
        <v>82992</v>
      </c>
      <c r="E19" s="9">
        <v>71854</v>
      </c>
      <c r="F19" s="10">
        <v>9198</v>
      </c>
      <c r="G19" s="10">
        <v>14917</v>
      </c>
      <c r="H19" s="10">
        <v>16680</v>
      </c>
      <c r="I19" s="10">
        <v>17985</v>
      </c>
      <c r="J19" s="9">
        <v>58780</v>
      </c>
      <c r="K19" s="11">
        <v>11762</v>
      </c>
      <c r="L19" s="11"/>
      <c r="M19" s="11"/>
      <c r="N19" s="11"/>
      <c r="O19" s="9">
        <v>11762</v>
      </c>
      <c r="P19" s="12">
        <v>0.27875625135899118</v>
      </c>
      <c r="Q19" s="12">
        <v>0.27875625135899118</v>
      </c>
      <c r="R19" s="13">
        <v>0.34682864978032024</v>
      </c>
    </row>
    <row r="20" spans="1:18" ht="15" customHeight="1" x14ac:dyDescent="0.25">
      <c r="A20" t="s">
        <v>71</v>
      </c>
      <c r="B20" s="9">
        <v>9746</v>
      </c>
      <c r="C20" s="9">
        <v>8704</v>
      </c>
      <c r="D20" s="9">
        <v>8263</v>
      </c>
      <c r="E20" s="9">
        <v>6827</v>
      </c>
      <c r="F20" s="10">
        <v>1081</v>
      </c>
      <c r="G20" s="10">
        <v>949</v>
      </c>
      <c r="H20" s="10">
        <v>1487</v>
      </c>
      <c r="I20" s="10">
        <v>2914</v>
      </c>
      <c r="J20" s="9">
        <v>6431</v>
      </c>
      <c r="K20" s="11">
        <v>1320</v>
      </c>
      <c r="L20" s="11"/>
      <c r="M20" s="11"/>
      <c r="N20" s="11"/>
      <c r="O20" s="9">
        <v>1320</v>
      </c>
      <c r="P20" s="12">
        <v>0.22109158186864009</v>
      </c>
      <c r="Q20" s="12">
        <v>0.22109158186864009</v>
      </c>
      <c r="R20" s="13">
        <v>3.8923126824521571E-2</v>
      </c>
    </row>
    <row r="21" spans="1:18" ht="15" customHeight="1" x14ac:dyDescent="0.25">
      <c r="A21" t="s">
        <v>55</v>
      </c>
      <c r="B21" s="9">
        <v>1133</v>
      </c>
      <c r="C21" s="9">
        <v>1019</v>
      </c>
      <c r="D21" s="9">
        <v>1117</v>
      </c>
      <c r="E21" s="9">
        <v>916</v>
      </c>
      <c r="F21" s="10">
        <v>247</v>
      </c>
      <c r="G21" s="10">
        <v>53</v>
      </c>
      <c r="H21" s="10">
        <v>256</v>
      </c>
      <c r="I21" s="10">
        <v>353</v>
      </c>
      <c r="J21" s="9">
        <v>909</v>
      </c>
      <c r="K21" s="11">
        <v>182</v>
      </c>
      <c r="L21" s="11"/>
      <c r="M21" s="11"/>
      <c r="N21" s="11"/>
      <c r="O21" s="9">
        <v>182</v>
      </c>
      <c r="P21" s="12">
        <v>-0.26315789473684215</v>
      </c>
      <c r="Q21" s="12">
        <v>-0.26315789473684215</v>
      </c>
      <c r="R21" s="13">
        <v>5.3666735470173678E-3</v>
      </c>
    </row>
    <row r="22" spans="1:18" ht="15" customHeight="1" x14ac:dyDescent="0.25">
      <c r="A22" t="s">
        <v>64</v>
      </c>
      <c r="B22" s="9">
        <v>2178</v>
      </c>
      <c r="C22" s="9">
        <v>2468</v>
      </c>
      <c r="D22" s="9">
        <v>287</v>
      </c>
      <c r="E22" s="9">
        <v>984</v>
      </c>
      <c r="F22" s="10">
        <v>160</v>
      </c>
      <c r="G22" s="10">
        <v>57</v>
      </c>
      <c r="H22" s="10">
        <v>185</v>
      </c>
      <c r="I22" s="10">
        <v>413</v>
      </c>
      <c r="J22" s="9">
        <v>815</v>
      </c>
      <c r="K22" s="11">
        <v>123</v>
      </c>
      <c r="L22" s="11"/>
      <c r="M22" s="11"/>
      <c r="N22" s="11"/>
      <c r="O22" s="9">
        <v>123</v>
      </c>
      <c r="P22" s="12">
        <v>-0.23124999999999996</v>
      </c>
      <c r="Q22" s="12">
        <v>-0.23124999999999996</v>
      </c>
      <c r="R22" s="13">
        <v>3.626927726830419E-3</v>
      </c>
    </row>
    <row r="23" spans="1:18" ht="15" customHeight="1" x14ac:dyDescent="0.25">
      <c r="A23" t="s">
        <v>72</v>
      </c>
      <c r="B23" s="9">
        <v>1197</v>
      </c>
      <c r="C23" s="9">
        <v>1186</v>
      </c>
      <c r="D23" s="9">
        <v>1000</v>
      </c>
      <c r="E23" s="9">
        <v>1129</v>
      </c>
      <c r="F23" s="10">
        <v>69</v>
      </c>
      <c r="G23" s="10">
        <v>73</v>
      </c>
      <c r="H23" s="10">
        <v>145</v>
      </c>
      <c r="I23" s="10">
        <v>630</v>
      </c>
      <c r="J23" s="9">
        <v>917</v>
      </c>
      <c r="K23" s="11">
        <v>53</v>
      </c>
      <c r="L23" s="11"/>
      <c r="M23" s="11"/>
      <c r="N23" s="11"/>
      <c r="O23" s="9">
        <v>53</v>
      </c>
      <c r="P23" s="12">
        <v>-0.23188405797101452</v>
      </c>
      <c r="Q23" s="12">
        <v>-0.23188405797101452</v>
      </c>
      <c r="R23" s="13">
        <v>1.5628225164391236E-3</v>
      </c>
    </row>
    <row r="24" spans="1:18" ht="15" customHeight="1" x14ac:dyDescent="0.25">
      <c r="A24" t="s">
        <v>56</v>
      </c>
      <c r="B24" s="9">
        <v>1396</v>
      </c>
      <c r="C24" s="9">
        <v>1047</v>
      </c>
      <c r="D24" s="9">
        <v>1040</v>
      </c>
      <c r="E24" s="9">
        <v>927</v>
      </c>
      <c r="F24" s="10">
        <v>101</v>
      </c>
      <c r="G24" s="10">
        <v>113</v>
      </c>
      <c r="H24" s="10">
        <v>212</v>
      </c>
      <c r="I24" s="10">
        <v>339</v>
      </c>
      <c r="J24" s="9">
        <v>765</v>
      </c>
      <c r="K24" s="11">
        <v>108</v>
      </c>
      <c r="L24" s="11"/>
      <c r="M24" s="11"/>
      <c r="N24" s="11"/>
      <c r="O24" s="9">
        <v>108</v>
      </c>
      <c r="P24" s="12">
        <v>6.9306930693069368E-2</v>
      </c>
      <c r="Q24" s="12">
        <v>6.9306930693069368E-2</v>
      </c>
      <c r="R24" s="13">
        <v>3.1846194674608557E-3</v>
      </c>
    </row>
    <row r="25" spans="1:18" ht="15" customHeight="1" x14ac:dyDescent="0.25">
      <c r="A25" t="s">
        <v>73</v>
      </c>
      <c r="B25" s="9">
        <v>1410</v>
      </c>
      <c r="C25" s="9">
        <v>1457</v>
      </c>
      <c r="D25" s="9">
        <v>1637</v>
      </c>
      <c r="E25" s="9">
        <v>1324</v>
      </c>
      <c r="F25" s="10">
        <v>110</v>
      </c>
      <c r="G25" s="10">
        <v>178</v>
      </c>
      <c r="H25" s="10">
        <v>435</v>
      </c>
      <c r="I25" s="10">
        <v>761</v>
      </c>
      <c r="J25" s="9">
        <v>1484</v>
      </c>
      <c r="K25" s="11">
        <v>140</v>
      </c>
      <c r="L25" s="11"/>
      <c r="M25" s="11"/>
      <c r="N25" s="11"/>
      <c r="O25" s="9">
        <v>140</v>
      </c>
      <c r="P25" s="12">
        <v>0.27272727272727271</v>
      </c>
      <c r="Q25" s="12">
        <v>0.27272727272727271</v>
      </c>
      <c r="R25" s="13">
        <v>4.1282104207825904E-3</v>
      </c>
    </row>
    <row r="26" spans="1:18" ht="15" customHeight="1" x14ac:dyDescent="0.25">
      <c r="A26" t="s">
        <v>74</v>
      </c>
      <c r="B26" s="9">
        <v>1062</v>
      </c>
      <c r="C26" s="9">
        <v>952</v>
      </c>
      <c r="D26" s="9">
        <v>903</v>
      </c>
      <c r="E26" s="9">
        <v>752</v>
      </c>
      <c r="F26" s="10">
        <v>135</v>
      </c>
      <c r="G26" s="10">
        <v>95</v>
      </c>
      <c r="H26" s="10">
        <v>221</v>
      </c>
      <c r="I26" s="10">
        <v>431</v>
      </c>
      <c r="J26" s="9">
        <v>882</v>
      </c>
      <c r="K26" s="11">
        <v>94</v>
      </c>
      <c r="L26" s="11"/>
      <c r="M26" s="11"/>
      <c r="N26" s="11"/>
      <c r="O26" s="9">
        <v>94</v>
      </c>
      <c r="P26" s="12">
        <v>-0.3037037037037037</v>
      </c>
      <c r="Q26" s="12">
        <v>-0.3037037037037037</v>
      </c>
      <c r="R26" s="13">
        <v>2.7717984253825966E-3</v>
      </c>
    </row>
    <row r="27" spans="1:18" ht="15" customHeight="1" x14ac:dyDescent="0.25">
      <c r="A27" t="s">
        <v>75</v>
      </c>
      <c r="B27" s="9">
        <v>4327</v>
      </c>
      <c r="C27" s="9">
        <v>3950</v>
      </c>
      <c r="D27" s="9">
        <v>3969</v>
      </c>
      <c r="E27" s="9">
        <v>3537</v>
      </c>
      <c r="F27" s="10">
        <v>360</v>
      </c>
      <c r="G27" s="10">
        <v>403</v>
      </c>
      <c r="H27" s="10">
        <v>857</v>
      </c>
      <c r="I27" s="10">
        <v>1594</v>
      </c>
      <c r="J27" s="9">
        <v>3214</v>
      </c>
      <c r="K27" s="11">
        <v>488</v>
      </c>
      <c r="L27" s="11"/>
      <c r="M27" s="11"/>
      <c r="N27" s="11"/>
      <c r="O27" s="9">
        <v>488</v>
      </c>
      <c r="P27" s="12">
        <v>0.35555555555555562</v>
      </c>
      <c r="Q27" s="12">
        <v>0.35555555555555562</v>
      </c>
      <c r="R27" s="13">
        <v>1.4389762038156459E-2</v>
      </c>
    </row>
    <row r="28" spans="1:18" ht="15" customHeight="1" x14ac:dyDescent="0.25">
      <c r="A28" t="s">
        <v>34</v>
      </c>
      <c r="B28" s="9">
        <v>26416</v>
      </c>
      <c r="C28" s="9">
        <v>23964</v>
      </c>
      <c r="D28" s="9">
        <v>21571</v>
      </c>
      <c r="E28" s="9">
        <v>16448</v>
      </c>
      <c r="F28" s="10">
        <v>1498</v>
      </c>
      <c r="G28" s="10">
        <v>1323</v>
      </c>
      <c r="H28" s="10">
        <v>4200</v>
      </c>
      <c r="I28" s="10">
        <v>8388</v>
      </c>
      <c r="J28" s="9">
        <v>15409</v>
      </c>
      <c r="K28" s="11">
        <v>871</v>
      </c>
      <c r="L28" s="11"/>
      <c r="M28" s="11"/>
      <c r="N28" s="11"/>
      <c r="O28" s="9">
        <v>871</v>
      </c>
      <c r="P28" s="12">
        <v>-0.41855807743658213</v>
      </c>
      <c r="Q28" s="12">
        <v>-0.41855807743658213</v>
      </c>
      <c r="R28" s="13">
        <v>2.5683366260725975E-2</v>
      </c>
    </row>
    <row r="29" spans="1:18" ht="15" customHeight="1" x14ac:dyDescent="0.25">
      <c r="A29" t="s">
        <v>35</v>
      </c>
      <c r="B29" s="9">
        <f>SUBTOTAL(109,Tabell_Får[2021])</f>
        <v>230120</v>
      </c>
      <c r="C29" s="9">
        <f>SUBTOTAL(109,Tabell_Får[2022])</f>
        <v>228822</v>
      </c>
      <c r="D29" s="9">
        <f>SUBTOTAL(109,Tabell_Får[2023])</f>
        <v>229132</v>
      </c>
      <c r="E29" s="9">
        <f>SUBTOTAL(109,Tabell_Får[2024])</f>
        <v>201802</v>
      </c>
      <c r="F29" s="9">
        <f>SUBTOTAL(109,Tabell_Får[Kvartal 1 2025])</f>
        <v>28534</v>
      </c>
      <c r="G29" s="9">
        <f>SUBTOTAL(109,Tabell_Får[Kvartal 2 2025])</f>
        <v>40554</v>
      </c>
      <c r="H29" s="9">
        <f>SUBTOTAL(109,Tabell_Får[Kvartal 3 2025])</f>
        <v>50981</v>
      </c>
      <c r="I29" s="9">
        <f>SUBTOTAL(109,Tabell_Får[Kvartal 4 2025])</f>
        <v>66820</v>
      </c>
      <c r="J29" s="9">
        <f>SUBTOTAL(109,Tabell_Får[2025])</f>
        <v>186889</v>
      </c>
      <c r="K29" s="9">
        <f>SUBTOTAL(109,Tabell_Får[Kvartal 1 2026])</f>
        <v>33913</v>
      </c>
      <c r="L29" s="9">
        <f>SUBTOTAL(109,Tabell_Får[Kvartal 2 2026])</f>
        <v>0</v>
      </c>
      <c r="M29" s="9">
        <f>SUBTOTAL(109,Tabell_Får[Kvartal 3 2026])</f>
        <v>0</v>
      </c>
      <c r="N29" s="9">
        <f>SUBTOTAL(109,Tabell_Får[Kvartal 4 2026])</f>
        <v>0</v>
      </c>
      <c r="O29" s="9">
        <f>SUBTOTAL(109,Tabell_Får[2026])</f>
        <v>33913</v>
      </c>
      <c r="P29" s="15">
        <f>K29/F29-1</f>
        <v>0.18851195065535853</v>
      </c>
      <c r="Q29" s="15">
        <f>O29/SUM(F29:F29)-1</f>
        <v>0.18851195065535853</v>
      </c>
      <c r="R29" s="13">
        <f>SUBTOTAL(109,Tabell_Får[Procentuell andel 2026*])</f>
        <v>0.99999999999999989</v>
      </c>
    </row>
    <row r="30" spans="1:18" ht="15" customHeight="1" x14ac:dyDescent="0.2">
      <c r="A30" s="17" t="s">
        <v>76</v>
      </c>
    </row>
    <row r="31" spans="1:18" ht="15" customHeight="1" x14ac:dyDescent="0.2">
      <c r="A31" s="17" t="s">
        <v>37</v>
      </c>
    </row>
    <row r="32" spans="1:18" ht="15" customHeight="1" x14ac:dyDescent="0.2">
      <c r="A32" s="17" t="s">
        <v>77</v>
      </c>
    </row>
    <row r="33" spans="1:1" ht="15" customHeight="1" x14ac:dyDescent="0.2">
      <c r="A33" s="17" t="s">
        <v>39</v>
      </c>
    </row>
    <row r="34" spans="1:1" ht="15" customHeight="1" x14ac:dyDescent="0.2"/>
    <row r="35" spans="1:1" ht="15" customHeight="1" x14ac:dyDescent="0.2"/>
    <row r="36" spans="1:1" ht="15" customHeight="1" x14ac:dyDescent="0.2"/>
    <row r="37" spans="1:1" ht="15" customHeight="1" x14ac:dyDescent="0.2"/>
    <row r="38" spans="1:1" ht="15" customHeight="1" x14ac:dyDescent="0.2"/>
    <row r="39" spans="1:1" ht="15" customHeight="1" x14ac:dyDescent="0.2"/>
    <row r="40" spans="1:1" ht="15" customHeight="1" x14ac:dyDescent="0.2"/>
    <row r="41" spans="1:1" ht="15" customHeight="1" x14ac:dyDescent="0.2"/>
    <row r="42" spans="1:1" ht="15" customHeight="1" x14ac:dyDescent="0.2"/>
    <row r="43" spans="1:1" ht="15" customHeight="1" x14ac:dyDescent="0.2"/>
    <row r="44" spans="1:1" ht="15" customHeight="1" x14ac:dyDescent="0.2"/>
    <row r="45" spans="1:1" ht="15" customHeight="1" x14ac:dyDescent="0.2"/>
    <row r="46" spans="1:1" ht="15" customHeight="1" x14ac:dyDescent="0.2"/>
    <row r="47" spans="1:1" ht="15" customHeight="1" x14ac:dyDescent="0.2"/>
    <row r="48" spans="1: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A3F8-A85C-4C42-B074-00CFCE61E651}">
  <sheetPr codeName="flHäst">
    <pageSetUpPr fitToPage="1"/>
  </sheetPr>
  <dimension ref="A1:R92"/>
  <sheetViews>
    <sheetView workbookViewId="0">
      <selection activeCell="A2" sqref="A2"/>
    </sheetView>
  </sheetViews>
  <sheetFormatPr defaultColWidth="9.140625" defaultRowHeight="12" x14ac:dyDescent="0.2"/>
  <cols>
    <col min="1" max="1" width="27" style="17" customWidth="1"/>
    <col min="2" max="15" width="8.28515625" style="17" customWidth="1"/>
    <col min="16" max="16" width="9.28515625" style="17" customWidth="1"/>
    <col min="17" max="17" width="10.140625" style="17" customWidth="1"/>
    <col min="18" max="18" width="10" style="17" customWidth="1"/>
    <col min="19" max="16384" width="9.140625" style="17"/>
  </cols>
  <sheetData>
    <row r="1" spans="1:18" ht="92.25" customHeight="1" x14ac:dyDescent="0.25">
      <c r="A1" s="1" t="s">
        <v>78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25">
      <c r="A3" t="s">
        <v>44</v>
      </c>
      <c r="B3" s="9">
        <v>147</v>
      </c>
      <c r="C3" s="9">
        <v>181</v>
      </c>
      <c r="D3" s="9">
        <v>230</v>
      </c>
      <c r="E3" s="9">
        <v>251</v>
      </c>
      <c r="F3" s="10">
        <v>62</v>
      </c>
      <c r="G3" s="10">
        <v>36</v>
      </c>
      <c r="H3" s="10">
        <v>41</v>
      </c>
      <c r="I3" s="10">
        <v>60</v>
      </c>
      <c r="J3" s="9">
        <v>199</v>
      </c>
      <c r="K3" s="11">
        <v>31</v>
      </c>
      <c r="L3" s="11"/>
      <c r="M3" s="11"/>
      <c r="N3" s="11"/>
      <c r="O3" s="9">
        <v>31</v>
      </c>
      <c r="P3" s="12">
        <v>-0.5</v>
      </c>
      <c r="Q3" s="12">
        <v>-0.5</v>
      </c>
      <c r="R3" s="13">
        <v>0.14691943127962084</v>
      </c>
    </row>
    <row r="4" spans="1:18" ht="15" customHeight="1" x14ac:dyDescent="0.25">
      <c r="A4" t="s">
        <v>48</v>
      </c>
      <c r="B4" s="9">
        <v>105</v>
      </c>
      <c r="C4" s="9">
        <v>112</v>
      </c>
      <c r="D4" s="9">
        <v>112</v>
      </c>
      <c r="E4" s="9">
        <v>120</v>
      </c>
      <c r="F4" s="10">
        <v>38</v>
      </c>
      <c r="G4" s="10">
        <v>18</v>
      </c>
      <c r="H4" s="10">
        <v>22</v>
      </c>
      <c r="I4" s="10">
        <v>37</v>
      </c>
      <c r="J4" s="9">
        <v>115</v>
      </c>
      <c r="K4" s="11">
        <v>24</v>
      </c>
      <c r="L4" s="11"/>
      <c r="M4" s="11"/>
      <c r="N4" s="11"/>
      <c r="O4" s="9">
        <v>24</v>
      </c>
      <c r="P4" s="12">
        <v>-0.36842105263157898</v>
      </c>
      <c r="Q4" s="12">
        <v>-0.36842105263157898</v>
      </c>
      <c r="R4" s="13">
        <v>0.11374407582938388</v>
      </c>
    </row>
    <row r="5" spans="1:18" ht="15" customHeight="1" x14ac:dyDescent="0.25">
      <c r="A5" t="s">
        <v>52</v>
      </c>
      <c r="B5" s="9">
        <v>50</v>
      </c>
      <c r="C5" s="9">
        <v>37</v>
      </c>
      <c r="D5" s="9">
        <v>32</v>
      </c>
      <c r="E5" s="9">
        <v>29</v>
      </c>
      <c r="F5" s="10">
        <v>2</v>
      </c>
      <c r="G5" s="10">
        <v>3</v>
      </c>
      <c r="H5" s="10">
        <v>4</v>
      </c>
      <c r="I5" s="10">
        <v>5</v>
      </c>
      <c r="J5" s="9">
        <v>14</v>
      </c>
      <c r="K5" s="11">
        <v>3</v>
      </c>
      <c r="L5" s="11"/>
      <c r="M5" s="11"/>
      <c r="N5" s="11"/>
      <c r="O5" s="9">
        <v>3</v>
      </c>
      <c r="P5" s="12">
        <v>0.5</v>
      </c>
      <c r="Q5" s="12">
        <v>0.5</v>
      </c>
      <c r="R5" s="13">
        <v>1.4218009478672985E-2</v>
      </c>
    </row>
    <row r="6" spans="1:18" ht="15" customHeight="1" x14ac:dyDescent="0.25">
      <c r="A6" t="s">
        <v>62</v>
      </c>
      <c r="B6" s="9">
        <v>60</v>
      </c>
      <c r="C6" s="9">
        <v>73</v>
      </c>
      <c r="D6" s="9">
        <v>78</v>
      </c>
      <c r="E6" s="9">
        <v>82</v>
      </c>
      <c r="F6" s="10">
        <v>11</v>
      </c>
      <c r="G6" s="10">
        <v>9</v>
      </c>
      <c r="H6" s="10"/>
      <c r="I6" s="10">
        <v>7</v>
      </c>
      <c r="J6" s="9">
        <v>27</v>
      </c>
      <c r="K6" s="11">
        <v>12</v>
      </c>
      <c r="L6" s="11"/>
      <c r="M6" s="11"/>
      <c r="N6" s="11"/>
      <c r="O6" s="9">
        <v>12</v>
      </c>
      <c r="P6" s="12">
        <v>9.0909090909090828E-2</v>
      </c>
      <c r="Q6" s="12">
        <v>9.0909090909090828E-2</v>
      </c>
      <c r="R6" s="13">
        <v>5.6872037914691941E-2</v>
      </c>
    </row>
    <row r="7" spans="1:18" ht="15" customHeight="1" x14ac:dyDescent="0.25">
      <c r="A7" t="s">
        <v>53</v>
      </c>
      <c r="B7" s="9">
        <v>191</v>
      </c>
      <c r="C7" s="9">
        <v>229</v>
      </c>
      <c r="D7" s="9">
        <v>298</v>
      </c>
      <c r="E7" s="9">
        <v>324</v>
      </c>
      <c r="F7" s="10">
        <v>55</v>
      </c>
      <c r="G7" s="10">
        <v>44</v>
      </c>
      <c r="H7" s="10">
        <v>74</v>
      </c>
      <c r="I7" s="10">
        <v>94</v>
      </c>
      <c r="J7" s="9">
        <v>267</v>
      </c>
      <c r="K7" s="11">
        <v>57</v>
      </c>
      <c r="L7" s="11"/>
      <c r="M7" s="11"/>
      <c r="N7" s="11"/>
      <c r="O7" s="9">
        <v>57</v>
      </c>
      <c r="P7" s="12">
        <v>3.6363636363636376E-2</v>
      </c>
      <c r="Q7" s="12">
        <v>3.6363636363636376E-2</v>
      </c>
      <c r="R7" s="13">
        <v>0.27014218009478674</v>
      </c>
    </row>
    <row r="8" spans="1:18" ht="15" customHeight="1" x14ac:dyDescent="0.25">
      <c r="A8" t="s">
        <v>30</v>
      </c>
      <c r="B8" s="9">
        <v>18</v>
      </c>
      <c r="C8" s="9">
        <v>15</v>
      </c>
      <c r="D8" s="9">
        <v>33</v>
      </c>
      <c r="E8" s="9">
        <v>37</v>
      </c>
      <c r="F8" s="10">
        <v>14</v>
      </c>
      <c r="G8" s="10">
        <v>2</v>
      </c>
      <c r="H8" s="10">
        <v>4</v>
      </c>
      <c r="I8" s="10">
        <v>6</v>
      </c>
      <c r="J8" s="9">
        <v>26</v>
      </c>
      <c r="K8" s="11">
        <v>5</v>
      </c>
      <c r="L8" s="11"/>
      <c r="M8" s="11"/>
      <c r="N8" s="11"/>
      <c r="O8" s="9">
        <v>5</v>
      </c>
      <c r="P8" s="12">
        <v>-0.64285714285714279</v>
      </c>
      <c r="Q8" s="12">
        <v>-0.64285714285714279</v>
      </c>
      <c r="R8" s="13">
        <v>2.3696682464454975E-2</v>
      </c>
    </row>
    <row r="9" spans="1:18" ht="15" customHeight="1" x14ac:dyDescent="0.25">
      <c r="A9" t="s">
        <v>55</v>
      </c>
      <c r="B9" s="9">
        <v>30</v>
      </c>
      <c r="C9" s="9">
        <v>72</v>
      </c>
      <c r="D9" s="9">
        <v>108</v>
      </c>
      <c r="E9" s="9">
        <v>103</v>
      </c>
      <c r="F9" s="10">
        <v>17</v>
      </c>
      <c r="G9" s="10">
        <v>21</v>
      </c>
      <c r="H9" s="10">
        <v>16</v>
      </c>
      <c r="I9" s="10">
        <v>19</v>
      </c>
      <c r="J9" s="9">
        <v>73</v>
      </c>
      <c r="K9" s="11">
        <v>14</v>
      </c>
      <c r="L9" s="11"/>
      <c r="M9" s="11"/>
      <c r="N9" s="11"/>
      <c r="O9" s="9">
        <v>14</v>
      </c>
      <c r="P9" s="12">
        <v>-0.17647058823529416</v>
      </c>
      <c r="Q9" s="12">
        <v>-0.17647058823529416</v>
      </c>
      <c r="R9" s="13">
        <v>6.6350710900473939E-2</v>
      </c>
    </row>
    <row r="10" spans="1:18" ht="15" customHeight="1" x14ac:dyDescent="0.25">
      <c r="A10" t="s">
        <v>73</v>
      </c>
      <c r="B10" s="9">
        <v>23</v>
      </c>
      <c r="C10" s="9">
        <v>24</v>
      </c>
      <c r="D10" s="9">
        <v>27</v>
      </c>
      <c r="E10" s="9">
        <v>26</v>
      </c>
      <c r="F10" s="10">
        <v>8</v>
      </c>
      <c r="G10" s="10">
        <v>3</v>
      </c>
      <c r="H10" s="10">
        <v>3</v>
      </c>
      <c r="I10" s="10">
        <v>3</v>
      </c>
      <c r="J10" s="9">
        <v>17</v>
      </c>
      <c r="K10" s="11">
        <v>3</v>
      </c>
      <c r="L10" s="11"/>
      <c r="M10" s="11"/>
      <c r="N10" s="11"/>
      <c r="O10" s="9">
        <v>3</v>
      </c>
      <c r="P10" s="12">
        <v>-0.625</v>
      </c>
      <c r="Q10" s="12">
        <v>-0.625</v>
      </c>
      <c r="R10" s="13">
        <v>1.4218009478672985E-2</v>
      </c>
    </row>
    <row r="11" spans="1:18" ht="15" customHeight="1" x14ac:dyDescent="0.25">
      <c r="A11" t="s">
        <v>34</v>
      </c>
      <c r="B11" s="9">
        <v>412</v>
      </c>
      <c r="C11" s="9">
        <v>300</v>
      </c>
      <c r="D11" s="9">
        <v>112</v>
      </c>
      <c r="E11" s="9">
        <v>230</v>
      </c>
      <c r="F11" s="10">
        <v>8</v>
      </c>
      <c r="G11" s="10">
        <v>1</v>
      </c>
      <c r="H11" s="10">
        <v>6</v>
      </c>
      <c r="I11" s="10">
        <v>14</v>
      </c>
      <c r="J11" s="9">
        <v>29</v>
      </c>
      <c r="K11" s="11">
        <v>62</v>
      </c>
      <c r="L11" s="11"/>
      <c r="M11" s="11"/>
      <c r="N11" s="11"/>
      <c r="O11" s="9">
        <v>62</v>
      </c>
      <c r="P11" s="12">
        <v>6.75</v>
      </c>
      <c r="Q11" s="12">
        <v>6.75</v>
      </c>
      <c r="R11" s="13">
        <v>0.29383886255924169</v>
      </c>
    </row>
    <row r="12" spans="1:18" ht="15" customHeight="1" x14ac:dyDescent="0.25">
      <c r="A12" t="s">
        <v>35</v>
      </c>
      <c r="B12" s="9">
        <f>SUBTOTAL(109,Tabell_Häst[2021])</f>
        <v>1036</v>
      </c>
      <c r="C12" s="9">
        <f>SUBTOTAL(109,Tabell_Häst[2022])</f>
        <v>1043</v>
      </c>
      <c r="D12" s="9">
        <f>SUBTOTAL(109,Tabell_Häst[2023])</f>
        <v>1030</v>
      </c>
      <c r="E12" s="9">
        <f>SUBTOTAL(109,Tabell_Häst[2024])</f>
        <v>1202</v>
      </c>
      <c r="F12" s="9">
        <f>SUBTOTAL(109,Tabell_Häst[Kvartal 1 2025])</f>
        <v>215</v>
      </c>
      <c r="G12" s="9">
        <f>SUBTOTAL(109,Tabell_Häst[Kvartal 2 2025])</f>
        <v>137</v>
      </c>
      <c r="H12" s="9">
        <f>SUBTOTAL(109,Tabell_Häst[Kvartal 3 2025])</f>
        <v>170</v>
      </c>
      <c r="I12" s="9">
        <f>SUBTOTAL(109,Tabell_Häst[Kvartal 4 2025])</f>
        <v>245</v>
      </c>
      <c r="J12" s="9">
        <f>SUBTOTAL(109,Tabell_Häst[2025])</f>
        <v>767</v>
      </c>
      <c r="K12" s="9">
        <f>SUBTOTAL(109,Tabell_Häst[Kvartal 1 2026])</f>
        <v>211</v>
      </c>
      <c r="L12" s="9">
        <f>SUBTOTAL(109,Tabell_Häst[Kvartal 2 2026])</f>
        <v>0</v>
      </c>
      <c r="M12" s="9">
        <f>SUBTOTAL(109,Tabell_Häst[Kvartal 3 2026])</f>
        <v>0</v>
      </c>
      <c r="N12" s="9">
        <f>SUBTOTAL(109,Tabell_Häst[Kvartal 4 2026])</f>
        <v>0</v>
      </c>
      <c r="O12" s="9">
        <f>SUBTOTAL(109,Tabell_Häst[2026])</f>
        <v>211</v>
      </c>
      <c r="P12" s="15">
        <f>K12/F12-1</f>
        <v>-1.8604651162790753E-2</v>
      </c>
      <c r="Q12" s="15">
        <f>O12/SUM(F12:F12)-1</f>
        <v>-1.8604651162790753E-2</v>
      </c>
      <c r="R12" s="13">
        <f>SUBTOTAL(109,Tabell_Häst[Procentuell andel 2026*])</f>
        <v>1</v>
      </c>
    </row>
    <row r="13" spans="1:18" ht="15" customHeight="1" x14ac:dyDescent="0.2">
      <c r="A13" s="17" t="s">
        <v>79</v>
      </c>
    </row>
    <row r="14" spans="1:18" ht="15" customHeight="1" x14ac:dyDescent="0.2">
      <c r="A14" s="17" t="s">
        <v>37</v>
      </c>
    </row>
    <row r="15" spans="1:18" ht="15" customHeight="1" x14ac:dyDescent="0.2">
      <c r="A15" s="17" t="s">
        <v>80</v>
      </c>
    </row>
    <row r="16" spans="1:18" ht="15" customHeight="1" x14ac:dyDescent="0.2">
      <c r="A16" s="17" t="s">
        <v>39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7C51-8D3F-4F5F-9385-2901B0283D73}">
  <sheetPr codeName="Blad1"/>
  <dimension ref="A1:I30"/>
  <sheetViews>
    <sheetView zoomScaleNormal="100" workbookViewId="0">
      <selection activeCell="A2" sqref="A2"/>
    </sheetView>
  </sheetViews>
  <sheetFormatPr defaultColWidth="9.85546875" defaultRowHeight="12.75" x14ac:dyDescent="0.2"/>
  <cols>
    <col min="1" max="1" width="27" style="20" customWidth="1"/>
    <col min="2" max="2" width="10.5703125" style="20" bestFit="1" customWidth="1"/>
    <col min="3" max="3" width="12.140625" style="20" customWidth="1"/>
    <col min="4" max="5" width="10" style="20" bestFit="1" customWidth="1"/>
    <col min="6" max="6" width="8.7109375" style="20" customWidth="1"/>
    <col min="7" max="7" width="8.28515625" style="20" customWidth="1"/>
    <col min="8" max="16384" width="9.85546875" style="20"/>
  </cols>
  <sheetData>
    <row r="1" spans="1:8" s="17" customFormat="1" ht="92.25" customHeight="1" x14ac:dyDescent="0.25">
      <c r="A1" s="1" t="s">
        <v>81</v>
      </c>
      <c r="E1"/>
      <c r="F1"/>
      <c r="G1"/>
      <c r="H1"/>
    </row>
    <row r="2" spans="1:8" ht="15" x14ac:dyDescent="0.25">
      <c r="A2" s="18" t="s">
        <v>82</v>
      </c>
      <c r="B2" s="19" t="s">
        <v>83</v>
      </c>
      <c r="C2" s="19" t="s">
        <v>84</v>
      </c>
      <c r="D2" s="19" t="s">
        <v>85</v>
      </c>
      <c r="E2" s="19" t="s">
        <v>86</v>
      </c>
      <c r="F2" s="19" t="s">
        <v>87</v>
      </c>
      <c r="G2" s="19" t="s">
        <v>88</v>
      </c>
    </row>
    <row r="3" spans="1:8" ht="15" x14ac:dyDescent="0.25">
      <c r="A3" s="21">
        <v>2025</v>
      </c>
      <c r="B3" s="22">
        <v>2598948</v>
      </c>
      <c r="C3" s="22">
        <v>375516</v>
      </c>
      <c r="D3" s="22">
        <v>7262</v>
      </c>
      <c r="E3" s="22">
        <v>185856</v>
      </c>
      <c r="F3" s="22">
        <v>767</v>
      </c>
      <c r="G3" s="22">
        <v>542</v>
      </c>
    </row>
    <row r="4" spans="1:8" ht="15" x14ac:dyDescent="0.25">
      <c r="A4" s="23">
        <v>2024</v>
      </c>
      <c r="B4" s="22">
        <v>2576464</v>
      </c>
      <c r="C4" s="22">
        <v>414188</v>
      </c>
      <c r="D4" s="22">
        <v>9943</v>
      </c>
      <c r="E4" s="22">
        <v>201486</v>
      </c>
      <c r="F4" s="22">
        <v>1202</v>
      </c>
      <c r="G4" s="22">
        <v>910</v>
      </c>
    </row>
    <row r="5" spans="1:8" ht="15" x14ac:dyDescent="0.25">
      <c r="A5" s="23">
        <v>2023</v>
      </c>
      <c r="B5" s="22">
        <v>2568276</v>
      </c>
      <c r="C5" s="22">
        <v>409754</v>
      </c>
      <c r="D5" s="22">
        <v>10958</v>
      </c>
      <c r="E5" s="22">
        <v>228860</v>
      </c>
      <c r="F5" s="22">
        <v>1030</v>
      </c>
      <c r="G5" s="22">
        <v>906</v>
      </c>
    </row>
    <row r="6" spans="1:8" ht="15" x14ac:dyDescent="0.25">
      <c r="A6" s="24">
        <v>2022</v>
      </c>
      <c r="B6" s="9">
        <v>2668928</v>
      </c>
      <c r="C6" s="9">
        <v>400216</v>
      </c>
      <c r="D6" s="9">
        <v>11474</v>
      </c>
      <c r="E6" s="9">
        <v>228822</v>
      </c>
      <c r="F6" s="9">
        <v>1043</v>
      </c>
      <c r="G6" s="9">
        <v>1058</v>
      </c>
    </row>
    <row r="7" spans="1:8" ht="15" x14ac:dyDescent="0.25">
      <c r="A7" s="24">
        <v>2021</v>
      </c>
      <c r="B7" s="9">
        <v>2647847</v>
      </c>
      <c r="C7" s="9">
        <v>399962</v>
      </c>
      <c r="D7" s="9">
        <v>11499</v>
      </c>
      <c r="E7" s="9">
        <v>230120</v>
      </c>
      <c r="F7" s="9">
        <v>1036</v>
      </c>
      <c r="G7" s="9">
        <v>687</v>
      </c>
    </row>
    <row r="8" spans="1:8" ht="15" x14ac:dyDescent="0.25">
      <c r="A8" s="24">
        <v>2020</v>
      </c>
      <c r="B8" s="9">
        <v>2617581</v>
      </c>
      <c r="C8" s="9">
        <v>420198</v>
      </c>
      <c r="D8" s="9">
        <v>13468</v>
      </c>
      <c r="E8" s="9">
        <v>240517</v>
      </c>
      <c r="F8" s="9">
        <v>1413</v>
      </c>
      <c r="G8" s="9">
        <v>779</v>
      </c>
    </row>
    <row r="9" spans="1:8" ht="15" x14ac:dyDescent="0.25">
      <c r="A9" s="24">
        <v>2019</v>
      </c>
      <c r="B9" s="9">
        <v>2568189</v>
      </c>
      <c r="C9" s="9">
        <v>417043</v>
      </c>
      <c r="D9" s="9">
        <v>14891</v>
      </c>
      <c r="E9" s="9">
        <v>251708</v>
      </c>
      <c r="F9" s="9">
        <v>1712</v>
      </c>
      <c r="G9" s="9">
        <v>1198</v>
      </c>
    </row>
    <row r="10" spans="1:8" ht="15" x14ac:dyDescent="0.25">
      <c r="A10" s="24">
        <v>2018</v>
      </c>
      <c r="B10" s="9">
        <v>2640842</v>
      </c>
      <c r="C10" s="9">
        <v>409407</v>
      </c>
      <c r="D10" s="9">
        <v>15460</v>
      </c>
      <c r="E10" s="9">
        <v>280955</v>
      </c>
      <c r="F10" s="9">
        <v>1982</v>
      </c>
      <c r="G10" s="9">
        <v>1140</v>
      </c>
    </row>
    <row r="11" spans="1:8" ht="15" x14ac:dyDescent="0.25">
      <c r="A11" s="24">
        <v>2017</v>
      </c>
      <c r="B11" s="9">
        <v>2573461</v>
      </c>
      <c r="C11" s="9">
        <v>390996</v>
      </c>
      <c r="D11" s="9">
        <v>14399</v>
      </c>
      <c r="E11" s="9">
        <v>262396</v>
      </c>
      <c r="F11" s="9">
        <v>2134</v>
      </c>
      <c r="G11" s="9">
        <v>982</v>
      </c>
    </row>
    <row r="12" spans="1:8" ht="15" x14ac:dyDescent="0.25">
      <c r="A12" s="24">
        <v>2016</v>
      </c>
      <c r="B12" s="9">
        <v>2526661</v>
      </c>
      <c r="C12" s="9">
        <v>394932</v>
      </c>
      <c r="D12" s="9">
        <v>16256</v>
      </c>
      <c r="E12" s="9">
        <v>251448</v>
      </c>
      <c r="F12" s="9">
        <v>2488</v>
      </c>
      <c r="G12" s="9">
        <v>1138</v>
      </c>
    </row>
    <row r="13" spans="1:8" ht="15" x14ac:dyDescent="0.25">
      <c r="A13" s="24">
        <v>2015</v>
      </c>
      <c r="B13" s="9">
        <v>2554885</v>
      </c>
      <c r="C13" s="9">
        <v>406628</v>
      </c>
      <c r="D13" s="9">
        <v>21889</v>
      </c>
      <c r="E13" s="9">
        <v>256402</v>
      </c>
      <c r="F13" s="9">
        <v>2862</v>
      </c>
      <c r="G13" s="9">
        <v>1166</v>
      </c>
    </row>
    <row r="14" spans="1:8" ht="15" x14ac:dyDescent="0.25">
      <c r="A14" s="24">
        <v>2014</v>
      </c>
      <c r="B14" s="9">
        <v>2567911</v>
      </c>
      <c r="C14" s="9">
        <v>406088</v>
      </c>
      <c r="D14" s="9">
        <v>25739</v>
      </c>
      <c r="E14" s="9">
        <v>257808</v>
      </c>
      <c r="F14" s="9">
        <v>3646</v>
      </c>
      <c r="G14" s="9">
        <v>875</v>
      </c>
    </row>
    <row r="15" spans="1:8" ht="15" x14ac:dyDescent="0.25">
      <c r="A15" s="24">
        <v>2013</v>
      </c>
      <c r="B15" s="9">
        <v>2555848</v>
      </c>
      <c r="C15" s="9">
        <v>391347</v>
      </c>
      <c r="D15" s="9">
        <v>27091</v>
      </c>
      <c r="E15" s="9">
        <v>253097</v>
      </c>
      <c r="F15" s="9">
        <v>4012</v>
      </c>
      <c r="G15" s="9">
        <v>996</v>
      </c>
    </row>
    <row r="16" spans="1:8" ht="15" x14ac:dyDescent="0.25">
      <c r="A16" s="24">
        <v>2012</v>
      </c>
      <c r="B16" s="9">
        <v>2591862</v>
      </c>
      <c r="C16" s="9">
        <v>391826</v>
      </c>
      <c r="D16" s="9">
        <v>29133</v>
      </c>
      <c r="E16" s="9">
        <v>260521</v>
      </c>
      <c r="F16" s="9">
        <v>4359</v>
      </c>
      <c r="G16" s="9">
        <v>898</v>
      </c>
    </row>
    <row r="17" spans="1:9" ht="15" x14ac:dyDescent="0.25">
      <c r="A17" s="24">
        <v>2011</v>
      </c>
      <c r="B17" s="9">
        <v>2854837</v>
      </c>
      <c r="C17" s="9">
        <v>430061</v>
      </c>
      <c r="D17" s="9">
        <v>27188</v>
      </c>
      <c r="E17" s="9">
        <v>261993</v>
      </c>
      <c r="F17" s="9">
        <v>4507</v>
      </c>
      <c r="G17" s="9">
        <v>738</v>
      </c>
    </row>
    <row r="18" spans="1:9" ht="15" x14ac:dyDescent="0.25">
      <c r="A18" s="24">
        <v>2010</v>
      </c>
      <c r="B18" s="9">
        <v>2946689</v>
      </c>
      <c r="C18" s="9">
        <v>425664</v>
      </c>
      <c r="D18" s="9">
        <v>26655</v>
      </c>
      <c r="E18" s="9">
        <v>254909</v>
      </c>
      <c r="F18" s="9">
        <v>3969</v>
      </c>
      <c r="G18" s="9">
        <v>490</v>
      </c>
    </row>
    <row r="19" spans="1:9" ht="15" x14ac:dyDescent="0.25">
      <c r="A19" s="24">
        <v>2009</v>
      </c>
      <c r="B19" s="9">
        <v>2956412</v>
      </c>
      <c r="C19" s="9">
        <v>429526</v>
      </c>
      <c r="D19" s="9">
        <v>29425</v>
      </c>
      <c r="E19" s="9">
        <v>255072</v>
      </c>
      <c r="F19" s="9">
        <v>3814</v>
      </c>
      <c r="G19" s="9">
        <v>782</v>
      </c>
    </row>
    <row r="20" spans="1:9" ht="15" x14ac:dyDescent="0.25">
      <c r="A20" s="24">
        <v>2008</v>
      </c>
      <c r="B20" s="9">
        <v>3072441</v>
      </c>
      <c r="C20" s="9">
        <v>401597</v>
      </c>
      <c r="D20" s="9">
        <v>28661</v>
      </c>
      <c r="E20" s="9">
        <v>235031</v>
      </c>
      <c r="F20" s="9">
        <v>3496</v>
      </c>
      <c r="G20" s="9">
        <v>741</v>
      </c>
    </row>
    <row r="21" spans="1:9" ht="15" x14ac:dyDescent="0.25">
      <c r="A21" s="24">
        <v>2007</v>
      </c>
      <c r="B21" s="9">
        <v>3003777</v>
      </c>
      <c r="C21" s="9">
        <v>419408</v>
      </c>
      <c r="D21" s="9">
        <v>30124</v>
      </c>
      <c r="E21" s="9">
        <v>230975</v>
      </c>
      <c r="F21" s="9">
        <v>2995</v>
      </c>
      <c r="G21" s="9">
        <v>515</v>
      </c>
    </row>
    <row r="22" spans="1:9" ht="15" x14ac:dyDescent="0.25">
      <c r="A22" s="24">
        <v>2006</v>
      </c>
      <c r="B22" s="9">
        <v>3022036</v>
      </c>
      <c r="C22" s="9">
        <v>431679</v>
      </c>
      <c r="D22" s="9">
        <v>32425</v>
      </c>
      <c r="E22" s="9">
        <v>212854</v>
      </c>
      <c r="F22" s="9">
        <v>3021</v>
      </c>
      <c r="G22" s="9">
        <v>581</v>
      </c>
    </row>
    <row r="23" spans="1:9" ht="15" x14ac:dyDescent="0.25">
      <c r="A23" s="24">
        <v>2005</v>
      </c>
      <c r="B23" s="9">
        <v>3159941</v>
      </c>
      <c r="C23" s="9">
        <v>433044</v>
      </c>
      <c r="D23" s="9">
        <v>33036</v>
      </c>
      <c r="E23" s="9">
        <v>205983</v>
      </c>
      <c r="F23" s="9">
        <v>3521</v>
      </c>
      <c r="G23" s="9">
        <v>247</v>
      </c>
    </row>
    <row r="24" spans="1:9" ht="15" x14ac:dyDescent="0.25">
      <c r="A24" s="24">
        <v>2004</v>
      </c>
      <c r="B24" s="9">
        <v>3364833</v>
      </c>
      <c r="C24" s="9">
        <v>458016</v>
      </c>
      <c r="D24" s="9">
        <v>33868</v>
      </c>
      <c r="E24" s="9">
        <v>193241</v>
      </c>
      <c r="F24" s="9">
        <v>5042</v>
      </c>
      <c r="G24" s="9">
        <v>251</v>
      </c>
    </row>
    <row r="25" spans="1:9" ht="15" x14ac:dyDescent="0.25">
      <c r="A25" s="24">
        <v>2003</v>
      </c>
      <c r="B25" s="9">
        <v>3304939</v>
      </c>
      <c r="C25" s="9">
        <v>454222</v>
      </c>
      <c r="D25" s="9">
        <v>31536</v>
      </c>
      <c r="E25" s="9">
        <v>192432</v>
      </c>
      <c r="F25" s="9">
        <v>5349</v>
      </c>
      <c r="G25" s="9">
        <v>298</v>
      </c>
    </row>
    <row r="26" spans="1:9" ht="15" x14ac:dyDescent="0.25">
      <c r="A26" s="24">
        <v>2002</v>
      </c>
      <c r="B26" s="9">
        <v>3282338</v>
      </c>
      <c r="C26" s="9">
        <v>472928</v>
      </c>
      <c r="D26" s="9">
        <v>33831</v>
      </c>
      <c r="E26" s="9">
        <v>197278</v>
      </c>
      <c r="F26" s="9">
        <v>5454</v>
      </c>
      <c r="G26" s="9">
        <v>489</v>
      </c>
    </row>
    <row r="27" spans="1:9" ht="15" x14ac:dyDescent="0.25">
      <c r="A27" s="24">
        <v>2001</v>
      </c>
      <c r="B27" s="9">
        <v>3197296</v>
      </c>
      <c r="C27" s="9">
        <v>464032</v>
      </c>
      <c r="D27" s="9">
        <v>34290</v>
      </c>
      <c r="E27" s="9">
        <v>197343</v>
      </c>
      <c r="F27" s="9">
        <v>5173</v>
      </c>
      <c r="G27" s="9">
        <v>405</v>
      </c>
    </row>
    <row r="28" spans="1:9" ht="15.75" thickBot="1" x14ac:dyDescent="0.3">
      <c r="A28" s="25">
        <v>2000</v>
      </c>
      <c r="B28" s="26">
        <v>3256929</v>
      </c>
      <c r="C28" s="26">
        <v>490169</v>
      </c>
      <c r="D28" s="26">
        <v>39068</v>
      </c>
      <c r="E28" s="26">
        <v>203836</v>
      </c>
      <c r="F28" s="26">
        <v>5448</v>
      </c>
      <c r="G28" s="26">
        <v>391</v>
      </c>
    </row>
    <row r="30" spans="1:9" x14ac:dyDescent="0.2">
      <c r="B30" s="27"/>
      <c r="C30" s="27"/>
      <c r="D30" s="27"/>
      <c r="E30" s="27"/>
      <c r="F30" s="27"/>
      <c r="G30" s="27"/>
      <c r="H30" s="27"/>
      <c r="I30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Gris</vt:lpstr>
      <vt:lpstr>Kalv</vt:lpstr>
      <vt:lpstr>Storboskap</vt:lpstr>
      <vt:lpstr>Får och lamm</vt:lpstr>
      <vt:lpstr>Häst</vt:lpstr>
      <vt:lpstr>Årshistorik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Kvartalsstatistik för godkänd slakt kvartal 1 år 2026</dc:title>
  <dc:creator>Jordbruksverket</dc:creator>
  <cp:keywords>Storboskap, Kalv, Gris, Får och lamm, Häst, Årshistorik,</cp:keywords>
  <cp:lastModifiedBy>Arne Andersson</cp:lastModifiedBy>
  <dcterms:created xsi:type="dcterms:W3CDTF">2026-04-21T13:39:10Z</dcterms:created>
  <dcterms:modified xsi:type="dcterms:W3CDTF">2026-04-21T13:39:12Z</dcterms:modified>
</cp:coreProperties>
</file>