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gran\Desktop\Webben\"/>
    </mc:Choice>
  </mc:AlternateContent>
  <xr:revisionPtr revIDLastSave="0" documentId="8_{B2706CD8-4CB1-4747-9C0B-5B6B8C71C90B}" xr6:coauthVersionLast="47" xr6:coauthVersionMax="47" xr10:uidLastSave="{00000000-0000-0000-0000-000000000000}"/>
  <bookViews>
    <workbookView xWindow="28680" yWindow="-1200" windowWidth="29040" windowHeight="15720" xr2:uid="{294F1971-682B-43EE-8E12-FADD73B479B1}"/>
  </bookViews>
  <sheets>
    <sheet name="Gris" sheetId="1" r:id="rId1"/>
    <sheet name="Storboskap" sheetId="2" r:id="rId2"/>
    <sheet name="Kalv" sheetId="3" r:id="rId3"/>
    <sheet name="Får och lamm" sheetId="4" r:id="rId4"/>
    <sheet name="Häst" sheetId="5" r:id="rId5"/>
    <sheet name="Årshistorik" sheetId="6" r:id="rId6"/>
  </sheets>
  <externalReferences>
    <externalReference r:id="rId7"/>
  </externalReferences>
  <definedNames>
    <definedName name="rngAvbugga">[1]Instruktion!$K$9</definedName>
    <definedName name="rngMedgivande">[1]Instruktion!$K$12</definedName>
    <definedName name="rngTidstämpel">[1]Instruktion!#REF!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5" l="1"/>
  <c r="O12" i="5"/>
  <c r="Q12" i="5" s="1"/>
  <c r="N12" i="5"/>
  <c r="P12" i="5" s="1"/>
  <c r="M12" i="5"/>
  <c r="L12" i="5"/>
  <c r="K12" i="5"/>
  <c r="J12" i="5"/>
  <c r="I12" i="5"/>
  <c r="H12" i="5"/>
  <c r="G12" i="5"/>
  <c r="F12" i="5"/>
  <c r="E12" i="5"/>
  <c r="D12" i="5"/>
  <c r="C12" i="5"/>
  <c r="B12" i="5"/>
  <c r="R29" i="4"/>
  <c r="O29" i="4"/>
  <c r="Q29" i="4" s="1"/>
  <c r="N29" i="4"/>
  <c r="P29" i="4" s="1"/>
  <c r="M29" i="4"/>
  <c r="L29" i="4"/>
  <c r="K29" i="4"/>
  <c r="J29" i="4"/>
  <c r="I29" i="4"/>
  <c r="H29" i="4"/>
  <c r="G29" i="4"/>
  <c r="F29" i="4"/>
  <c r="E29" i="4"/>
  <c r="D29" i="4"/>
  <c r="C29" i="4"/>
  <c r="B29" i="4"/>
  <c r="R24" i="3"/>
  <c r="O24" i="3"/>
  <c r="Q24" i="3" s="1"/>
  <c r="N24" i="3"/>
  <c r="P24" i="3" s="1"/>
  <c r="M24" i="3"/>
  <c r="L24" i="3"/>
  <c r="K24" i="3"/>
  <c r="J24" i="3"/>
  <c r="I24" i="3"/>
  <c r="H24" i="3"/>
  <c r="G24" i="3"/>
  <c r="F24" i="3"/>
  <c r="E24" i="3"/>
  <c r="D24" i="3"/>
  <c r="C24" i="3"/>
  <c r="B24" i="3"/>
  <c r="R29" i="2"/>
  <c r="O29" i="2"/>
  <c r="Q29" i="2" s="1"/>
  <c r="N29" i="2"/>
  <c r="P29" i="2" s="1"/>
  <c r="M29" i="2"/>
  <c r="L29" i="2"/>
  <c r="K29" i="2"/>
  <c r="J29" i="2"/>
  <c r="I29" i="2"/>
  <c r="H29" i="2"/>
  <c r="G29" i="2"/>
  <c r="F29" i="2"/>
  <c r="E29" i="2"/>
  <c r="D29" i="2"/>
  <c r="C29" i="2"/>
  <c r="B29" i="2"/>
  <c r="R19" i="1"/>
  <c r="O19" i="1"/>
  <c r="Q19" i="1" s="1"/>
  <c r="N19" i="1"/>
  <c r="P19" i="1" s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<sst xmlns="http://schemas.openxmlformats.org/spreadsheetml/2006/main" count="228" uniqueCount="89">
  <si>
    <t>Antal slaktade grisar, uppdaterad kvartal 4 2025</t>
  </si>
  <si>
    <t>Anläggning</t>
  </si>
  <si>
    <t>2020</t>
  </si>
  <si>
    <t>2021</t>
  </si>
  <si>
    <t>2022</t>
  </si>
  <si>
    <t>2023</t>
  </si>
  <si>
    <t>Kvartal 1 2024</t>
  </si>
  <si>
    <t>Kvartal 2 2024</t>
  </si>
  <si>
    <t>Kvartal 3 2024</t>
  </si>
  <si>
    <t>Kvartal 4 2024</t>
  </si>
  <si>
    <t>2024</t>
  </si>
  <si>
    <t>Kvartal 1 2025</t>
  </si>
  <si>
    <t>Kvartal 2 2025</t>
  </si>
  <si>
    <t>Kvartal 3 2025</t>
  </si>
  <si>
    <t>Kvartal 4 2025</t>
  </si>
  <si>
    <t>2025</t>
  </si>
  <si>
    <t>Förändring kv 4 från 2024-2025</t>
  </si>
  <si>
    <t>Förändring kv 1-4 från 2024–2025</t>
  </si>
  <si>
    <t>Procentuell andel 2025*</t>
  </si>
  <si>
    <t>AB Ginsten Slakteri</t>
  </si>
  <si>
    <t>Alviksgården Lantbruks AB</t>
  </si>
  <si>
    <t>Brantestads Gårdsslakteri</t>
  </si>
  <si>
    <t>Dahlbergs Slakteri AB</t>
  </si>
  <si>
    <t>Ickholmens slakteri</t>
  </si>
  <si>
    <t>KLS Ugglarps AB Dalsjöfors</t>
  </si>
  <si>
    <t>KLS Ugglarps AB Kalmar</t>
  </si>
  <si>
    <t>KLS Ugglarps AB, Trelleborg</t>
  </si>
  <si>
    <t>Lindells Gårdsslakteri</t>
  </si>
  <si>
    <t>Lövsta Kött AB</t>
  </si>
  <si>
    <t>Protos AB</t>
  </si>
  <si>
    <t>Ragnar Johanssons Kött o Chark AB</t>
  </si>
  <si>
    <t>Roslagens Slakt och Chark AB</t>
  </si>
  <si>
    <t>Scan, Kristianstad</t>
  </si>
  <si>
    <t>Skövde Slakteri</t>
  </si>
  <si>
    <t>Övriga</t>
  </si>
  <si>
    <t>Total svensk slakt</t>
  </si>
  <si>
    <t>Tabellen visar 15 av de 42 slakterier som har slaktat grisar under 2025. Källa: Jordbruksverket</t>
  </si>
  <si>
    <t>Sammanställningen utgår från slakteriernas veckorapportering till Jordbruksverket och visar antal slaktade djur som godkänts som livsmedel</t>
  </si>
  <si>
    <t>Ingående kategorier: Samtliga djur av djurslaget svin inklusive suggor och galtar</t>
  </si>
  <si>
    <t>*Den procentuella andelen av slakten utgår från anläggning, inte företag. Det förekommer att slakteriföretag legoslaktar åt varandra.</t>
  </si>
  <si>
    <t>Antal slaktade storboskap, uppdaterad kvartal 4 2025</t>
  </si>
  <si>
    <t>Almunge Kött</t>
  </si>
  <si>
    <t>Bjursunds Slakteri AB</t>
  </si>
  <si>
    <t>Bäsinge Slakteri AB</t>
  </si>
  <si>
    <t>Delsbo Slakteri</t>
  </si>
  <si>
    <t>Ello i Lammhult AB</t>
  </si>
  <si>
    <t>Faringe Kött &amp; Slakt AB</t>
  </si>
  <si>
    <t>Jämtlandsgården Livsmedel AB</t>
  </si>
  <si>
    <t>KLS Ugglarps AB, Hörby</t>
  </si>
  <si>
    <t>Mostorps Gård AB</t>
  </si>
  <si>
    <t>Norrbottensgården Slakteri AB</t>
  </si>
  <si>
    <t>Nyhléns Hugosons AB - Ullånger</t>
  </si>
  <si>
    <t>Närkes Slakteri</t>
  </si>
  <si>
    <t>PP Slakt AB</t>
  </si>
  <si>
    <t>Scan, Linköping</t>
  </si>
  <si>
    <t>Skånska Vilt AB</t>
  </si>
  <si>
    <t>Sörby Slakteri</t>
  </si>
  <si>
    <t>Varekils Slakteri AB</t>
  </si>
  <si>
    <t>Tabellen visar 25 av de 63 slakterier som har slaktat storboskap under 2025. Källa: Jordbruksverket</t>
  </si>
  <si>
    <t>Ingående kategorier: Samtliga nötkreatur utom späd-, göd-, och mellankalv</t>
  </si>
  <si>
    <t>Antal slaktade kalvar, uppdaterad kvartal 4 2025</t>
  </si>
  <si>
    <t>─</t>
  </si>
  <si>
    <t>Bassholma slakteri AB</t>
  </si>
  <si>
    <t>–</t>
  </si>
  <si>
    <t>Tabellen visar 20 av de 47 slakterier som har slaktat kalvar under 2025. Källa: Jordbruksverket</t>
  </si>
  <si>
    <t>Ingående kategorier: späd-, göd-, och mellankalv</t>
  </si>
  <si>
    <t>Antal slaktade får och lamm, uppdaterad kvartal 4 2025</t>
  </si>
  <si>
    <t>Appeltorps Lamm o Vilt</t>
  </si>
  <si>
    <t>Ljungskile Kött AB</t>
  </si>
  <si>
    <t>Lundsbol slakteri AB</t>
  </si>
  <si>
    <t>Skara Lammslakteri AB</t>
  </si>
  <si>
    <t>Sörgården Gårdsbutik&amp;slakteri</t>
  </si>
  <si>
    <t>Tavastboda gårdsslakteri AB</t>
  </si>
  <si>
    <t>Vikbolands Kött</t>
  </si>
  <si>
    <t>Västerslät</t>
  </si>
  <si>
    <t>Öströö Fårfarm AB</t>
  </si>
  <si>
    <t>Tabellen visar 25 av de 55 slakterier som har slaktat får och lamm under 2025. Källa: Jordbruksverket</t>
  </si>
  <si>
    <t>Ingående kategorier: Samtliga får och lamm</t>
  </si>
  <si>
    <t>Antal slaktade hästar, uppdaterad kvartal 4 2025</t>
  </si>
  <si>
    <t>Tabellen visar 8 av de 12 slakterier som har slaktat hästar under 2025. Källa: Jordbruksverket</t>
  </si>
  <si>
    <t>Ingående kategorier: Samtliga hästar</t>
  </si>
  <si>
    <t>Godkänd slakt, antal djur per år</t>
  </si>
  <si>
    <t>År</t>
  </si>
  <si>
    <t>Svin</t>
  </si>
  <si>
    <t>Storboskap</t>
  </si>
  <si>
    <t>Kalv</t>
  </si>
  <si>
    <t>Får</t>
  </si>
  <si>
    <t>Get</t>
  </si>
  <si>
    <t>Häst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</si>
</sst>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\+0%;\-0%"/>
    <numFmt numFmtId="166" formatCode="#,#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 applyAlignment="1">
      <alignment horizontal="right" wrapText="1"/>
    </xf>
    <xf numFmtId="164" fontId="3" fillId="0" borderId="0" xfId="1" applyNumberFormat="1" applyFont="1" applyFill="1" applyBorder="1" applyAlignment="1">
      <alignment horizontal="right" wrapText="1"/>
    </xf>
    <xf numFmtId="164" fontId="3" fillId="0" borderId="0" xfId="1" applyNumberFormat="1" applyFont="1" applyFill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3" fontId="0" fillId="0" borderId="0" xfId="0" applyNumberFormat="1"/>
    <xf numFmtId="3" fontId="0" fillId="3" borderId="0" xfId="0" applyNumberFormat="1" applyFill="1"/>
    <xf numFmtId="3" fontId="0" fillId="4" borderId="0" xfId="0" applyNumberFormat="1" applyFill="1"/>
    <xf numFmtId="165" fontId="0" fillId="0" borderId="0" xfId="0" applyNumberFormat="1" applyAlignment="1">
      <alignment horizontal="right"/>
    </xf>
    <xf numFmtId="9" fontId="0" fillId="0" borderId="0" xfId="0" applyNumberFormat="1"/>
    <xf numFmtId="166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0" fillId="0" borderId="1" xfId="0" applyNumberFormat="1" applyBorder="1"/>
  </cellXfs>
  <cellStyles count="2">
    <cellStyle name="Normal" xfId="0" builtinId="0"/>
    <cellStyle name="Procent" xfId="1" builtinId="5"/>
  </cellStyles>
  <dxfs count="20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vertical="bottom" textRotation="0" wrapText="0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0.0%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\+0%;\-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00%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165" formatCode="\+0%;\-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\+0%;\-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EFEFE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ill>
        <patternFill>
          <bgColor theme="9" tint="0.79998168889431442"/>
        </patternFill>
      </fill>
      <border diagonalUp="0" diagonalDown="0">
        <left/>
        <right/>
        <top style="thin">
          <color theme="9" tint="0.59996337778862885"/>
        </top>
        <bottom style="thin">
          <color theme="9" tint="0.59996337778862885"/>
        </bottom>
        <vertical/>
        <horizontal style="thin">
          <color theme="9" tint="0.59996337778862885"/>
        </horizontal>
      </border>
    </dxf>
    <dxf>
      <font>
        <b/>
        <color theme="1"/>
      </font>
      <border>
        <right/>
      </border>
    </dxf>
    <dxf>
      <font>
        <b/>
        <color theme="1"/>
      </font>
    </dxf>
    <dxf>
      <font>
        <b/>
        <color theme="1"/>
      </font>
      <border>
        <left/>
        <right/>
        <top style="double">
          <color auto="1"/>
        </top>
        <bottom style="medium">
          <color auto="1"/>
        </bottom>
        <vertical/>
      </border>
    </dxf>
    <dxf>
      <font>
        <b/>
        <color theme="1"/>
      </font>
      <border>
        <left/>
        <right/>
        <top style="medium">
          <color auto="1"/>
        </top>
        <bottom style="medium">
          <color auto="1"/>
        </bottom>
        <vertical/>
      </border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</dxf>
  </dxfs>
  <tableStyles count="1" defaultTableStyle="TableStyleMedium2" defaultPivotStyle="PivotStyleLight16">
    <tableStyle name="Kvartalsstatistik" pivot="0" count="9" xr9:uid="{DEDD15AE-1D86-4AC3-82B1-B4411ED7D786}">
      <tableStyleElement type="wholeTable" dxfId="200"/>
      <tableStyleElement type="headerRow" dxfId="199"/>
      <tableStyleElement type="totalRow" dxfId="198"/>
      <tableStyleElement type="firstColumn" dxfId="197"/>
      <tableStyleElement type="lastColumn" dxfId="196"/>
      <tableStyleElement type="firstRowStripe" dxfId="195"/>
      <tableStyleElement type="secondRowStripe" dxfId="194"/>
      <tableStyleElement type="firstColumnStripe" dxfId="193"/>
      <tableStyleElement type="secondColumnStripe" dxfId="1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nhet\Kontrollenheter\Kontrollomr&#229;den\K&#246;ttklassning\Planering,%20uppf&#246;ljning%20och%20statistik\Statistik\Kvartalsstatistik\2025\Kvartalsstatistik%202025.xlsm" TargetMode="External"/><Relationship Id="rId1" Type="http://schemas.openxmlformats.org/officeDocument/2006/relationships/externalLinkPath" Target="file:///G:\Enhet\Kontrollenheter\Kontrollomr&#229;den\K&#246;ttklassning\Planering,%20uppf&#246;ljning%20och%20statistik\Statistik\Kvartalsstatistik\2025\Kvartalsstatistik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DAWA-underlag"/>
      <sheetName val="Urval"/>
      <sheetName val="Äldre underlag"/>
      <sheetName val="Gris"/>
      <sheetName val="Storboskap"/>
      <sheetName val="Kalv"/>
      <sheetName val="Får och lamm"/>
      <sheetName val="Get"/>
      <sheetName val="Häst"/>
      <sheetName val="Årshistorik"/>
      <sheetName val="Diagram"/>
    </sheetNames>
    <sheetDataSet>
      <sheetData sheetId="0">
        <row r="12">
          <cell r="K12" t="str">
            <v>Medger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5D1E7-DE87-452D-88CC-4FF6BDDBF426}" name="Tabell_Gris" displayName="Tabell_Gris" ref="A2:R19" totalsRowCount="1">
  <autoFilter ref="A2:R18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E9DD2BEE-9271-434C-88AC-0BB249DCAD88}" name="Anläggning" totalsRowLabel="Total svensk slakt" dataDxfId="191"/>
    <tableColumn id="19" xr3:uid="{EE8A8FCC-D0DD-4F9F-887E-FFCBAAF2651C}" name="2020" totalsRowFunction="sum" dataDxfId="190" totalsRowDxfId="189"/>
    <tableColumn id="20" xr3:uid="{065C9354-5705-458F-B522-F1F248E9BD41}" name="2021" totalsRowFunction="sum" dataDxfId="188" totalsRowDxfId="187"/>
    <tableColumn id="21" xr3:uid="{9F0A0420-195C-4B21-9144-F88A0625C656}" name="2022" totalsRowFunction="sum" dataDxfId="186" totalsRowDxfId="185"/>
    <tableColumn id="22" xr3:uid="{B058D570-F83F-4070-A2F1-27A2F9DD507E}" name="2023" totalsRowFunction="sum" dataDxfId="184" totalsRowDxfId="183"/>
    <tableColumn id="2" xr3:uid="{E4ED1D2B-F4FB-4874-9893-CFA4C77E76A9}" name="Kvartal 1 2024" totalsRowFunction="sum" dataDxfId="182" totalsRowDxfId="181"/>
    <tableColumn id="3" xr3:uid="{4D9DC577-B218-407D-B046-53C92B3D454C}" name="Kvartal 2 2024" totalsRowFunction="sum" dataDxfId="180" totalsRowDxfId="179"/>
    <tableColumn id="4" xr3:uid="{19AA7ED3-2E1D-49FC-9A49-A6F1AF87926E}" name="Kvartal 3 2024" totalsRowFunction="sum" dataDxfId="178" totalsRowDxfId="177"/>
    <tableColumn id="5" xr3:uid="{3A5FE966-A5A7-469A-98DF-FCAD1AD59D78}" name="Kvartal 4 2024" totalsRowFunction="sum" dataDxfId="176" totalsRowDxfId="175"/>
    <tableColumn id="6" xr3:uid="{4D92B4F1-2B21-4931-A9F6-D8F4B0784A1B}" name="2024" totalsRowFunction="sum" dataDxfId="174" totalsRowDxfId="173"/>
    <tableColumn id="7" xr3:uid="{EA989EC6-7E19-4FBB-B7E9-FDF88FD03C10}" name="Kvartal 1 2025" totalsRowFunction="sum" dataDxfId="172" totalsRowDxfId="171"/>
    <tableColumn id="8" xr3:uid="{6A5B1AF7-7C6E-4403-8157-395AFEADBA29}" name="Kvartal 2 2025" totalsRowFunction="sum" dataDxfId="170" totalsRowDxfId="169"/>
    <tableColumn id="9" xr3:uid="{9B6954D0-068A-47C2-8924-553C3C7DF1DA}" name="Kvartal 3 2025" totalsRowFunction="sum" dataDxfId="168" totalsRowDxfId="167"/>
    <tableColumn id="10" xr3:uid="{83CDC7B2-531F-41EA-AE20-CA5F1FB3BEBE}" name="Kvartal 4 2025" totalsRowFunction="sum" dataDxfId="166" totalsRowDxfId="165"/>
    <tableColumn id="11" xr3:uid="{F30AA0FB-84E2-4405-9889-7A617C2AC3F7}" name="2025" totalsRowFunction="sum" dataDxfId="164" totalsRowDxfId="163"/>
    <tableColumn id="12" xr3:uid="{41616B78-1759-470F-9C10-F346C388E1F9}" name="Förändring kv 4 från 2024-2025" totalsRowFunction="custom" dataDxfId="162" totalsRowDxfId="161">
      <totalsRowFormula>N19/I19-1</totalsRowFormula>
    </tableColumn>
    <tableColumn id="13" xr3:uid="{8CCF369C-6523-4430-8793-86B8610D799E}" name="Förändring kv 1-4 från 2024–2025" totalsRowFunction="custom" dataDxfId="160" totalsRowDxfId="159">
      <totalsRowFormula>O19/SUM(F19:I19)-1</totalsRowFormula>
    </tableColumn>
    <tableColumn id="14" xr3:uid="{EC994474-EAA1-4916-83F1-25971BD87BD2}" name="Procentuell andel 2025*" totalsRowFunction="sum" dataDxfId="158" totalsRowDxfId="157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grisar" altTextSummary="Tabellen visar de större slakterierna kvartalsvis i år och förra året samt årsvis ytterligare fyra år tillbak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D03283-731F-425C-A0F2-B5D7F5193A11}" name="Tabell_Storb" displayName="Tabell_Storb" ref="A2:R29" totalsRowCount="1" headerRowDxfId="156" totalsRowDxfId="155">
  <autoFilter ref="A2:R28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D462AA22-F5D6-47A0-81FF-F74A128A368C}" name="Anläggning" totalsRowLabel="Total svensk slakt" dataDxfId="154"/>
    <tableColumn id="19" xr3:uid="{5C4CB8D1-C0F6-485C-A5DC-B5A6620F2483}" name="2020" totalsRowFunction="sum" dataDxfId="153" totalsRowDxfId="152"/>
    <tableColumn id="20" xr3:uid="{3A3ED86D-AB21-4A1E-B352-19920DA04492}" name="2021" totalsRowFunction="sum" dataDxfId="151" totalsRowDxfId="150"/>
    <tableColumn id="21" xr3:uid="{2148CBD2-83D9-4C8E-BD96-924FE034DDF8}" name="2022" totalsRowFunction="sum" dataDxfId="149" totalsRowDxfId="148"/>
    <tableColumn id="22" xr3:uid="{0C425401-FDA8-45DF-B071-5B14026C3F80}" name="2023" totalsRowFunction="sum" dataDxfId="147" totalsRowDxfId="146"/>
    <tableColumn id="2" xr3:uid="{0979EBCF-FDBF-4958-A57D-9FF329339883}" name="Kvartal 1 2024" totalsRowFunction="sum" dataDxfId="145" totalsRowDxfId="144"/>
    <tableColumn id="3" xr3:uid="{3EA2DFE9-A5C9-4E72-98A4-96DF44CB5D4B}" name="Kvartal 2 2024" totalsRowFunction="sum" dataDxfId="143" totalsRowDxfId="142"/>
    <tableColumn id="4" xr3:uid="{89C3A21C-DE9C-4AE8-893E-EEB3AD5DD43E}" name="Kvartal 3 2024" totalsRowFunction="sum" dataDxfId="141" totalsRowDxfId="140"/>
    <tableColumn id="5" xr3:uid="{7EE35946-BE59-4182-93D4-06FE4FFCB471}" name="Kvartal 4 2024" totalsRowFunction="sum" dataDxfId="139" totalsRowDxfId="138"/>
    <tableColumn id="6" xr3:uid="{906C21D9-982B-4B9F-B190-86DA0EEFF069}" name="2024" totalsRowFunction="sum" dataDxfId="137" totalsRowDxfId="136"/>
    <tableColumn id="7" xr3:uid="{7CE3E7C1-2AB2-4970-993E-A91A5211EEFC}" name="Kvartal 1 2025" totalsRowFunction="sum" dataDxfId="135" totalsRowDxfId="134"/>
    <tableColumn id="8" xr3:uid="{393B4F8E-09E2-447E-B700-C5868BFF8310}" name="Kvartal 2 2025" totalsRowFunction="sum" dataDxfId="133" totalsRowDxfId="132"/>
    <tableColumn id="9" xr3:uid="{A170DE41-036D-4BBC-9F12-74302E6F07EF}" name="Kvartal 3 2025" totalsRowFunction="sum" dataDxfId="131" totalsRowDxfId="130"/>
    <tableColumn id="10" xr3:uid="{00AF2F36-3C87-4992-A3DB-BE2031BECB71}" name="Kvartal 4 2025" totalsRowFunction="sum" dataDxfId="129" totalsRowDxfId="128"/>
    <tableColumn id="11" xr3:uid="{B197103A-8217-4895-9596-5B161BC2DD09}" name="2025" totalsRowFunction="sum" dataDxfId="127" totalsRowDxfId="126"/>
    <tableColumn id="12" xr3:uid="{F51E914F-9D1E-4813-8D7D-42B77B454FA3}" name="Förändring kv 4 från 2024-2025" totalsRowFunction="custom" dataDxfId="125" totalsRowDxfId="124">
      <totalsRowFormula>N29/I29-1</totalsRowFormula>
    </tableColumn>
    <tableColumn id="13" xr3:uid="{3A911721-1048-43AB-BC5B-C4A3A32A4B21}" name="Förändring kv 1-4 från 2024–2025" totalsRowFunction="custom" dataDxfId="123" totalsRowDxfId="122">
      <totalsRowFormula>O29/SUM(F29:I29)-1</totalsRowFormula>
    </tableColumn>
    <tableColumn id="14" xr3:uid="{46D8C093-5AB7-4AA4-A571-5506737AF9EC}" name="Procentuell andel 2025*" totalsRowFunction="sum" dataDxfId="121" totalsRowDxfId="120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et slaktade storboskap" altTextSummary="Tabellen visar de större slakterierna kvartalsvis i år och förra året samt årsvis ytterligare fyra år tillbak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FA27A5-7975-48FD-9439-02D55EE285D3}" name="Tabell_Kalv" displayName="Tabell_Kalv" ref="A2:R24" totalsRowCount="1" headerRowDxfId="119" dataDxfId="118" totalsRowDxfId="117">
  <autoFilter ref="A2:R23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BC8CFCE1-D330-4806-8938-93D60807BCCB}" name="Anläggning" totalsRowLabel="Total svensk slakt" dataDxfId="116"/>
    <tableColumn id="19" xr3:uid="{A286D81C-CEB3-4D6D-9758-098BED0455A9}" name="2020" totalsRowFunction="sum" dataDxfId="115" totalsRowDxfId="114"/>
    <tableColumn id="20" xr3:uid="{952B4BD9-AFD2-412A-B32B-363E14B7DCDF}" name="2021" totalsRowFunction="sum" dataDxfId="113" totalsRowDxfId="112"/>
    <tableColumn id="21" xr3:uid="{BB64670F-A4FA-4F7D-8911-2E9E7108591B}" name="2022" totalsRowFunction="sum" dataDxfId="111" totalsRowDxfId="110"/>
    <tableColumn id="22" xr3:uid="{91EA1856-4E7D-48D5-8D04-3CEA2776EF36}" name="2023" totalsRowFunction="sum" dataDxfId="109" totalsRowDxfId="108"/>
    <tableColumn id="2" xr3:uid="{895D31C9-1357-4608-BF7C-D1A5EB0429DF}" name="Kvartal 1 2024" totalsRowFunction="sum" dataDxfId="107" totalsRowDxfId="106"/>
    <tableColumn id="3" xr3:uid="{714E175C-4569-4BD8-BE39-FE01102A8D89}" name="Kvartal 2 2024" totalsRowFunction="sum" dataDxfId="105" totalsRowDxfId="104"/>
    <tableColumn id="4" xr3:uid="{9805DDBD-1B65-4D6F-B781-22080808232F}" name="Kvartal 3 2024" totalsRowFunction="sum" dataDxfId="103" totalsRowDxfId="102"/>
    <tableColumn id="5" xr3:uid="{7E5112B2-FFCD-47F4-892A-EF383607B528}" name="Kvartal 4 2024" totalsRowFunction="sum" dataDxfId="101" totalsRowDxfId="100"/>
    <tableColumn id="6" xr3:uid="{25F6A3DE-7394-48C0-AA79-08B6F312547F}" name="2024" totalsRowFunction="sum" dataDxfId="99" totalsRowDxfId="98"/>
    <tableColumn id="7" xr3:uid="{AB078D87-ABFE-4A98-97B8-1ECE6916B57A}" name="Kvartal 1 2025" totalsRowFunction="sum" dataDxfId="97" totalsRowDxfId="96"/>
    <tableColumn id="8" xr3:uid="{7A7938ED-AA57-43A6-B753-2C42D2C0B4AE}" name="Kvartal 2 2025" totalsRowFunction="sum" dataDxfId="95" totalsRowDxfId="94"/>
    <tableColumn id="9" xr3:uid="{02CA538A-7D92-4525-80D8-B2328BB49BE1}" name="Kvartal 3 2025" totalsRowFunction="sum" dataDxfId="93" totalsRowDxfId="92"/>
    <tableColumn id="10" xr3:uid="{1DBE58C4-1600-492A-ABDC-E45910D71FE9}" name="Kvartal 4 2025" totalsRowFunction="sum" dataDxfId="91" totalsRowDxfId="90"/>
    <tableColumn id="11" xr3:uid="{2BCEED5A-CA0D-4775-901F-47DEE15FE663}" name="2025" totalsRowFunction="sum" dataDxfId="89" totalsRowDxfId="88"/>
    <tableColumn id="12" xr3:uid="{9DA29950-A011-4D7F-8C05-1C5CD9847191}" name="Förändring kv 4 från 2024-2025" totalsRowFunction="custom" dataDxfId="87" totalsRowDxfId="86">
      <totalsRowFormula>N24/I24-1</totalsRowFormula>
    </tableColumn>
    <tableColumn id="13" xr3:uid="{6C8567B0-C4B9-4500-9D95-49A37D564B0E}" name="Förändring kv 1-4 från 2024–2025" totalsRowFunction="custom" dataDxfId="85" totalsRowDxfId="84">
      <totalsRowFormula>O24/SUM(F24:I24)-1</totalsRowFormula>
    </tableColumn>
    <tableColumn id="14" xr3:uid="{2FFB5723-9EA5-4570-B6E6-2D8FA9086BC9}" name="Procentuell andel 2025*" totalsRowFunction="sum" dataDxfId="83" totalsRowDxfId="82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kalvar" altTextSummary="Tabellen visar de större slakterierna kvartalsvis i år och förra året samt årsvis ytterligare fyra år tillbak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FE9056-1374-4DFD-A4A0-621F591CE579}" name="Tabell_Får" displayName="Tabell_Får" ref="A2:R29" totalsRowCount="1" headerRowDxfId="81" totalsRowDxfId="80">
  <autoFilter ref="A2:R28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5EFFF2AE-F072-4C99-B92F-64ACBF7BB01C}" name="Anläggning" totalsRowLabel="Total svensk slakt" dataDxfId="79"/>
    <tableColumn id="19" xr3:uid="{A6A20B8D-A65A-4ACE-B57D-51CB61ED12BC}" name="2020" totalsRowFunction="sum" dataDxfId="78" totalsRowDxfId="77"/>
    <tableColumn id="20" xr3:uid="{A1E27A64-BD2D-4867-BA45-136E053929A3}" name="2021" totalsRowFunction="sum" dataDxfId="76" totalsRowDxfId="75"/>
    <tableColumn id="21" xr3:uid="{B69BC485-E666-42AC-8403-01E82E60AA24}" name="2022" totalsRowFunction="sum" dataDxfId="74" totalsRowDxfId="73"/>
    <tableColumn id="22" xr3:uid="{FDA781CF-C490-4F62-93C5-C26530A5ABB7}" name="2023" totalsRowFunction="sum" dataDxfId="72" totalsRowDxfId="71"/>
    <tableColumn id="2" xr3:uid="{3EF90995-6A12-49FD-9A39-BDBC177E2443}" name="Kvartal 1 2024" totalsRowFunction="sum" dataDxfId="70" totalsRowDxfId="69"/>
    <tableColumn id="3" xr3:uid="{796B89AB-A067-44DA-A7B9-15B7266357DB}" name="Kvartal 2 2024" totalsRowFunction="sum" dataDxfId="68" totalsRowDxfId="67"/>
    <tableColumn id="4" xr3:uid="{2994336D-F173-4ED0-928A-5AB2D76D515B}" name="Kvartal 3 2024" totalsRowFunction="sum" dataDxfId="66" totalsRowDxfId="65"/>
    <tableColumn id="5" xr3:uid="{7C97298C-F798-4A89-ABDC-0B49040E9FD7}" name="Kvartal 4 2024" totalsRowFunction="sum" dataDxfId="64" totalsRowDxfId="63"/>
    <tableColumn id="6" xr3:uid="{80BE9273-F240-4883-9D4F-795360FDD457}" name="2024" totalsRowFunction="sum" dataDxfId="62" totalsRowDxfId="61"/>
    <tableColumn id="7" xr3:uid="{376896E9-6174-4EBC-8838-B02773B53E28}" name="Kvartal 1 2025" totalsRowFunction="sum" dataDxfId="60" totalsRowDxfId="59"/>
    <tableColumn id="8" xr3:uid="{FF4E3F63-A57C-4373-96FB-ECD2E5340CDE}" name="Kvartal 2 2025" totalsRowFunction="sum" dataDxfId="58" totalsRowDxfId="57"/>
    <tableColumn id="9" xr3:uid="{72942097-936C-4818-9059-148C8EBEC2B6}" name="Kvartal 3 2025" totalsRowFunction="sum" dataDxfId="56" totalsRowDxfId="55"/>
    <tableColumn id="10" xr3:uid="{91D35159-4CE5-41B8-B24E-119BE9BDDA57}" name="Kvartal 4 2025" totalsRowFunction="sum" dataDxfId="54" totalsRowDxfId="53"/>
    <tableColumn id="11" xr3:uid="{0520B5F9-52C5-4B67-976C-BCFC74E24437}" name="2025" totalsRowFunction="sum" dataDxfId="52" totalsRowDxfId="51"/>
    <tableColumn id="12" xr3:uid="{7DBDB31C-AE1E-42CA-93D5-DD75B102FD9B}" name="Förändring kv 4 från 2024-2025" totalsRowFunction="custom" dataDxfId="50" totalsRowDxfId="49">
      <totalsRowFormula>N29/I29-1</totalsRowFormula>
    </tableColumn>
    <tableColumn id="13" xr3:uid="{E87F6006-4FE9-45B4-97C0-3F937F31417E}" name="Förändring kv 1-4 från 2024–2025" totalsRowFunction="custom" dataDxfId="48" totalsRowDxfId="47">
      <totalsRowFormula>O29/SUM(F29:I29)-1</totalsRowFormula>
    </tableColumn>
    <tableColumn id="14" xr3:uid="{0835FE18-6E37-47C1-A965-411EFBCA8490}" name="Procentuell andel 2025*" totalsRowFunction="sum" dataDxfId="46" totalsRowDxfId="45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753892-8774-4880-8B2B-D1059237DC84}" name="Tabell_Häst" displayName="Tabell_Häst" ref="A2:R12" totalsRowCount="1" headerRowDxfId="44" dataDxfId="43" totalsRowDxfId="42">
  <autoFilter ref="A2:R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0A275D92-355D-48B7-B725-23E82FD234C7}" name="Anläggning" totalsRowLabel="Total svensk slakt" dataDxfId="41"/>
    <tableColumn id="19" xr3:uid="{DAD7811D-8AAD-41AB-BD23-923B5C4A03D2}" name="2020" totalsRowFunction="sum" dataDxfId="40" totalsRowDxfId="39"/>
    <tableColumn id="20" xr3:uid="{CF6CA505-3326-48FB-8EFB-19C99A441AF2}" name="2021" totalsRowFunction="sum" dataDxfId="38" totalsRowDxfId="37"/>
    <tableColumn id="21" xr3:uid="{ACCD4524-78B4-4F65-8EB2-912010D58DDC}" name="2022" totalsRowFunction="sum" dataDxfId="36" totalsRowDxfId="35"/>
    <tableColumn id="22" xr3:uid="{C235D88D-410A-4C1A-AC8B-D111B5157780}" name="2023" totalsRowFunction="sum" dataDxfId="34" totalsRowDxfId="33"/>
    <tableColumn id="2" xr3:uid="{751CF248-EA87-40AD-885F-F7B978F9E3BC}" name="Kvartal 1 2024" totalsRowFunction="sum" dataDxfId="32" totalsRowDxfId="31"/>
    <tableColumn id="3" xr3:uid="{E2E320DC-449E-467F-B621-C2DD7D1D700E}" name="Kvartal 2 2024" totalsRowFunction="sum" dataDxfId="30" totalsRowDxfId="29"/>
    <tableColumn id="4" xr3:uid="{F372FA8A-22D6-4F28-B9A2-FB0F22219559}" name="Kvartal 3 2024" totalsRowFunction="sum" dataDxfId="28" totalsRowDxfId="27"/>
    <tableColumn id="5" xr3:uid="{334BCCEE-732D-4FAC-BD20-5904FE697FB8}" name="Kvartal 4 2024" totalsRowFunction="sum" dataDxfId="26" totalsRowDxfId="25"/>
    <tableColumn id="6" xr3:uid="{335B9469-6729-4F5D-9A96-08F94FC09171}" name="2024" totalsRowFunction="sum" dataDxfId="24" totalsRowDxfId="23"/>
    <tableColumn id="7" xr3:uid="{917F1AF1-E792-47A6-9ECB-F40C9EFDCC2C}" name="Kvartal 1 2025" totalsRowFunction="sum" dataDxfId="22" totalsRowDxfId="21"/>
    <tableColumn id="8" xr3:uid="{7D01CC5A-F3FE-4253-90F5-D9E42AE9216A}" name="Kvartal 2 2025" totalsRowFunction="sum" dataDxfId="20" totalsRowDxfId="19"/>
    <tableColumn id="9" xr3:uid="{B9F56321-A3A2-47F7-A503-0FD19AC6D03B}" name="Kvartal 3 2025" totalsRowFunction="sum" dataDxfId="18" totalsRowDxfId="17"/>
    <tableColumn id="10" xr3:uid="{B8EF3ECD-6A7F-4971-B9D9-44A4EBD1F588}" name="Kvartal 4 2025" totalsRowFunction="sum" dataDxfId="16" totalsRowDxfId="15"/>
    <tableColumn id="11" xr3:uid="{1EC58429-DDC8-4521-80D4-0D1AA65E4C4F}" name="2025" totalsRowFunction="sum" dataDxfId="14" totalsRowDxfId="13"/>
    <tableColumn id="12" xr3:uid="{7D709473-93AA-4817-A1A5-142CAF9D1BC4}" name="Förändring kv 4 från 2024-2025" totalsRowFunction="custom" dataDxfId="12" totalsRowDxfId="11">
      <totalsRowFormula>N12/I12-1</totalsRowFormula>
    </tableColumn>
    <tableColumn id="13" xr3:uid="{756B792D-5528-4930-9D47-CFB7AFF2D068}" name="Förändring kv 1-4 från 2024–2025" totalsRowFunction="custom" dataDxfId="10" totalsRowDxfId="9">
      <totalsRowFormula>O12/SUM(F12:I12)-1</totalsRowFormula>
    </tableColumn>
    <tableColumn id="14" xr3:uid="{1C504301-016B-4F0F-891F-61357157535B}" name="Procentuell andel 2025*" totalsRowFunction="sum" dataDxfId="8" totalsRowDxfId="7"/>
  </tableColumns>
  <tableStyleInfo name="Kvartalsstatistik" showFirstColumn="1" showLastColumn="0" showRowStripes="1" showColumnStripes="0"/>
  <extLst>
    <ext xmlns:x14="http://schemas.microsoft.com/office/spreadsheetml/2009/9/main" uri="{504A1905-F514-4f6f-8877-14C23A59335A}">
      <x14:table altText="Tabell över antal slaktade får och lamm" altTextSummary="Tabellen visar de större slakterierna kvartalsvis i år och förra året samt årsvis ytterligare fyra år tillbak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E3BD9FD-1598-4BA9-84AC-18B1AFD92B8A}" name="Tabell_Årshistorik" displayName="Tabell_Årshistorik" ref="A2:G27" totalsRowShown="0">
  <autoFilter ref="A2:G27" xr:uid="{D4AD92F7-E702-42E6-963F-C7916247EA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sortState xmlns:xlrd2="http://schemas.microsoft.com/office/spreadsheetml/2017/richdata2" ref="A3:G17">
    <sortCondition descending="1" ref="A6"/>
  </sortState>
  <tableColumns count="7">
    <tableColumn id="1" xr3:uid="{1E9DD125-DB41-40DE-B85A-4A4159A358F6}" name="År" dataDxfId="6"/>
    <tableColumn id="2" xr3:uid="{BE3E4D64-BF3E-480F-AA64-696B27DB57DF}" name="Svin" dataDxfId="5"/>
    <tableColumn id="3" xr3:uid="{915F8196-BCAF-4D07-8847-76E22E8F36B9}" name="Storboskap" dataDxfId="4"/>
    <tableColumn id="4" xr3:uid="{C50973AB-CC19-4A3B-8134-3F9F4CCFF913}" name="Kalv" dataDxfId="3"/>
    <tableColumn id="5" xr3:uid="{64B77269-16DD-48AA-B461-C8DA5D9905F6}" name="Får" dataDxfId="2"/>
    <tableColumn id="6" xr3:uid="{4437D76F-65F5-426B-B736-01DA5C35615C}" name="Get" dataDxfId="1"/>
    <tableColumn id="7" xr3:uid="{1ECA8BA0-D0D9-4A26-B8A9-994E451E6542}" name="Häst" dataDxfId="0"/>
  </tableColumns>
  <tableStyleInfo name="Kvartalsstatistik" showFirstColumn="1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F222-6AF4-4F5E-A196-CF07E243E3CC}">
  <sheetPr codeName="flSvin">
    <pageSetUpPr fitToPage="1"/>
  </sheetPr>
  <dimension ref="A1:S60"/>
  <sheetViews>
    <sheetView tabSelected="1" workbookViewId="0">
      <selection activeCell="A2" sqref="A2"/>
    </sheetView>
  </sheetViews>
  <sheetFormatPr defaultColWidth="9.1796875" defaultRowHeight="14.5" x14ac:dyDescent="0.35"/>
  <cols>
    <col min="1" max="1" width="27" customWidth="1"/>
    <col min="2" max="2" width="8.81640625" bestFit="1" customWidth="1"/>
    <col min="3" max="3" width="9.453125" customWidth="1"/>
    <col min="4" max="4" width="9.26953125" customWidth="1"/>
    <col min="5" max="5" width="9.1796875" customWidth="1"/>
    <col min="6" max="9" width="8.26953125" customWidth="1"/>
    <col min="10" max="10" width="8.7265625" customWidth="1"/>
    <col min="11" max="14" width="8.26953125" customWidth="1"/>
    <col min="15" max="15" width="9.1796875" customWidth="1"/>
    <col min="16" max="16" width="10.7265625" customWidth="1"/>
    <col min="17" max="17" width="11.26953125" customWidth="1"/>
    <col min="18" max="18" width="11.54296875" customWidth="1"/>
  </cols>
  <sheetData>
    <row r="1" spans="1:19" ht="92.25" customHeight="1" x14ac:dyDescent="0.35">
      <c r="A1" s="1" t="s">
        <v>0</v>
      </c>
      <c r="J1" s="1"/>
      <c r="R1" s="2"/>
    </row>
    <row r="2" spans="1:19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  <c r="S2" s="8"/>
    </row>
    <row r="3" spans="1:19" ht="15" customHeight="1" x14ac:dyDescent="0.35">
      <c r="A3" t="s">
        <v>19</v>
      </c>
      <c r="B3" s="9">
        <v>78626</v>
      </c>
      <c r="C3" s="9">
        <v>75524</v>
      </c>
      <c r="D3" s="9">
        <v>67029</v>
      </c>
      <c r="E3" s="9">
        <v>52236</v>
      </c>
      <c r="F3" s="10">
        <v>12964</v>
      </c>
      <c r="G3" s="10">
        <v>12255</v>
      </c>
      <c r="H3" s="10">
        <v>12959</v>
      </c>
      <c r="I3" s="10">
        <v>11859</v>
      </c>
      <c r="J3" s="9">
        <v>50037</v>
      </c>
      <c r="K3" s="11">
        <v>12581</v>
      </c>
      <c r="L3" s="11">
        <v>11267</v>
      </c>
      <c r="M3" s="11">
        <v>11197</v>
      </c>
      <c r="N3" s="11">
        <v>12266</v>
      </c>
      <c r="O3" s="9">
        <v>47311</v>
      </c>
      <c r="P3" s="12">
        <v>3.4319925794755068E-2</v>
      </c>
      <c r="Q3" s="12">
        <v>-5.4479685033075542E-2</v>
      </c>
      <c r="R3" s="13">
        <v>1.820463252122867E-2</v>
      </c>
      <c r="S3" s="14"/>
    </row>
    <row r="4" spans="1:19" ht="15" customHeight="1" x14ac:dyDescent="0.35">
      <c r="A4" t="s">
        <v>20</v>
      </c>
      <c r="B4" s="9">
        <v>50345</v>
      </c>
      <c r="C4" s="9">
        <v>52910</v>
      </c>
      <c r="D4" s="9">
        <v>51544</v>
      </c>
      <c r="E4" s="9">
        <v>51504</v>
      </c>
      <c r="F4" s="10">
        <v>13792</v>
      </c>
      <c r="G4" s="10">
        <v>12265</v>
      </c>
      <c r="H4" s="10">
        <v>12135</v>
      </c>
      <c r="I4" s="10">
        <v>12444</v>
      </c>
      <c r="J4" s="9">
        <v>50636</v>
      </c>
      <c r="K4" s="11">
        <v>12988</v>
      </c>
      <c r="L4" s="11">
        <v>11983</v>
      </c>
      <c r="M4" s="11">
        <v>12283</v>
      </c>
      <c r="N4" s="11">
        <v>11958</v>
      </c>
      <c r="O4" s="9">
        <v>49212</v>
      </c>
      <c r="P4" s="12">
        <v>-3.9054966248794565E-2</v>
      </c>
      <c r="Q4" s="12">
        <v>-2.8122284540643028E-2</v>
      </c>
      <c r="R4" s="13">
        <v>1.8936111594231898E-2</v>
      </c>
    </row>
    <row r="5" spans="1:19" ht="15" customHeight="1" x14ac:dyDescent="0.35">
      <c r="A5" t="s">
        <v>21</v>
      </c>
      <c r="B5" s="9">
        <v>2242</v>
      </c>
      <c r="C5" s="9">
        <v>2179</v>
      </c>
      <c r="D5" s="9">
        <v>2226</v>
      </c>
      <c r="E5" s="9">
        <v>1630</v>
      </c>
      <c r="F5" s="10">
        <v>376</v>
      </c>
      <c r="G5" s="10">
        <v>541</v>
      </c>
      <c r="H5" s="10">
        <v>440</v>
      </c>
      <c r="I5" s="10">
        <v>536</v>
      </c>
      <c r="J5" s="9">
        <v>1893</v>
      </c>
      <c r="K5" s="11">
        <v>443</v>
      </c>
      <c r="L5" s="11">
        <v>487</v>
      </c>
      <c r="M5" s="11">
        <v>460</v>
      </c>
      <c r="N5" s="11">
        <v>554</v>
      </c>
      <c r="O5" s="9">
        <v>1944</v>
      </c>
      <c r="P5" s="12">
        <v>3.3582089552238736E-2</v>
      </c>
      <c r="Q5" s="12">
        <v>2.694136291600624E-2</v>
      </c>
      <c r="R5" s="13">
        <v>7.4802489106695126E-4</v>
      </c>
    </row>
    <row r="6" spans="1:19" ht="15" customHeight="1" x14ac:dyDescent="0.35">
      <c r="A6" t="s">
        <v>22</v>
      </c>
      <c r="B6" s="9">
        <v>207876</v>
      </c>
      <c r="C6" s="9">
        <v>204679</v>
      </c>
      <c r="D6" s="9">
        <v>210698</v>
      </c>
      <c r="E6" s="9">
        <v>208268</v>
      </c>
      <c r="F6" s="10">
        <v>54632</v>
      </c>
      <c r="G6" s="10">
        <v>54412</v>
      </c>
      <c r="H6" s="10">
        <v>53781</v>
      </c>
      <c r="I6" s="10">
        <v>50897</v>
      </c>
      <c r="J6" s="9">
        <v>213722</v>
      </c>
      <c r="K6" s="11">
        <v>54523</v>
      </c>
      <c r="L6" s="11">
        <v>51330</v>
      </c>
      <c r="M6" s="11">
        <v>57767</v>
      </c>
      <c r="N6" s="11">
        <v>58228</v>
      </c>
      <c r="O6" s="9">
        <v>221848</v>
      </c>
      <c r="P6" s="12">
        <v>0.14403599426292324</v>
      </c>
      <c r="Q6" s="12">
        <v>3.8021354844143262E-2</v>
      </c>
      <c r="R6" s="13">
        <v>8.5364108041883241E-2</v>
      </c>
    </row>
    <row r="7" spans="1:19" ht="15" customHeight="1" x14ac:dyDescent="0.35">
      <c r="A7" t="s">
        <v>23</v>
      </c>
      <c r="B7" s="9">
        <v>47191</v>
      </c>
      <c r="C7" s="9">
        <v>58126</v>
      </c>
      <c r="D7" s="9">
        <v>60953</v>
      </c>
      <c r="E7" s="9">
        <v>56468</v>
      </c>
      <c r="F7" s="10">
        <v>16031</v>
      </c>
      <c r="G7" s="10">
        <v>14615</v>
      </c>
      <c r="H7" s="10">
        <v>16602</v>
      </c>
      <c r="I7" s="10">
        <v>14503</v>
      </c>
      <c r="J7" s="9">
        <v>61751</v>
      </c>
      <c r="K7" s="11">
        <v>15253</v>
      </c>
      <c r="L7" s="11">
        <v>13502</v>
      </c>
      <c r="M7" s="11">
        <v>16374</v>
      </c>
      <c r="N7" s="11">
        <v>14746</v>
      </c>
      <c r="O7" s="9">
        <v>59875</v>
      </c>
      <c r="P7" s="12">
        <v>1.675515410604711E-2</v>
      </c>
      <c r="Q7" s="12">
        <v>-3.0380074816602209E-2</v>
      </c>
      <c r="R7" s="13">
        <v>2.3039089687568782E-2</v>
      </c>
    </row>
    <row r="8" spans="1:19" ht="15" customHeight="1" x14ac:dyDescent="0.35">
      <c r="A8" t="s">
        <v>24</v>
      </c>
      <c r="B8" s="9">
        <v>381212</v>
      </c>
      <c r="C8" s="9">
        <v>396781</v>
      </c>
      <c r="D8" s="9">
        <v>399539</v>
      </c>
      <c r="E8" s="9">
        <v>382237</v>
      </c>
      <c r="F8" s="10">
        <v>99597</v>
      </c>
      <c r="G8" s="10">
        <v>94941</v>
      </c>
      <c r="H8" s="10">
        <v>98948</v>
      </c>
      <c r="I8" s="10">
        <v>97019</v>
      </c>
      <c r="J8" s="9">
        <v>390505</v>
      </c>
      <c r="K8" s="11">
        <v>97876</v>
      </c>
      <c r="L8" s="11">
        <v>94933</v>
      </c>
      <c r="M8" s="11">
        <v>99271</v>
      </c>
      <c r="N8" s="11">
        <v>97354</v>
      </c>
      <c r="O8" s="9">
        <v>389434</v>
      </c>
      <c r="P8" s="12">
        <v>3.4529318999372283E-3</v>
      </c>
      <c r="Q8" s="12">
        <v>-2.7426025274964738E-3</v>
      </c>
      <c r="R8" s="13">
        <v>0.14984893283321354</v>
      </c>
    </row>
    <row r="9" spans="1:19" ht="15" customHeight="1" x14ac:dyDescent="0.35">
      <c r="A9" t="s">
        <v>25</v>
      </c>
      <c r="B9" s="9">
        <v>397509</v>
      </c>
      <c r="C9" s="9">
        <v>393976</v>
      </c>
      <c r="D9" s="9">
        <v>399235</v>
      </c>
      <c r="E9" s="9">
        <v>368386</v>
      </c>
      <c r="F9" s="10">
        <v>99392</v>
      </c>
      <c r="G9" s="10">
        <v>93660</v>
      </c>
      <c r="H9" s="10">
        <v>99755</v>
      </c>
      <c r="I9" s="10">
        <v>96943</v>
      </c>
      <c r="J9" s="9">
        <v>389750</v>
      </c>
      <c r="K9" s="11">
        <v>98404</v>
      </c>
      <c r="L9" s="11">
        <v>93063</v>
      </c>
      <c r="M9" s="11">
        <v>94455</v>
      </c>
      <c r="N9" s="11">
        <v>96848</v>
      </c>
      <c r="O9" s="9">
        <v>382770</v>
      </c>
      <c r="P9" s="12">
        <v>-9.7995729449262825E-4</v>
      </c>
      <c r="Q9" s="12">
        <v>-1.7908915971776795E-2</v>
      </c>
      <c r="R9" s="13">
        <v>0.14728471581980296</v>
      </c>
    </row>
    <row r="10" spans="1:19" ht="15" customHeight="1" x14ac:dyDescent="0.35">
      <c r="A10" t="s">
        <v>26</v>
      </c>
      <c r="B10" s="9">
        <v>249504</v>
      </c>
      <c r="C10" s="9">
        <v>247645</v>
      </c>
      <c r="D10" s="9">
        <v>244006</v>
      </c>
      <c r="E10" s="9">
        <v>232800</v>
      </c>
      <c r="F10" s="10">
        <v>60933</v>
      </c>
      <c r="G10" s="10">
        <v>56905</v>
      </c>
      <c r="H10" s="10">
        <v>60685</v>
      </c>
      <c r="I10" s="10">
        <v>57178</v>
      </c>
      <c r="J10" s="9">
        <v>235701</v>
      </c>
      <c r="K10" s="11">
        <v>57318</v>
      </c>
      <c r="L10" s="11">
        <v>54513</v>
      </c>
      <c r="M10" s="11">
        <v>60754</v>
      </c>
      <c r="N10" s="11">
        <v>57199</v>
      </c>
      <c r="O10" s="9">
        <v>229784</v>
      </c>
      <c r="P10" s="12">
        <v>3.6727412641224255E-4</v>
      </c>
      <c r="Q10" s="12">
        <v>-2.5103839186087495E-2</v>
      </c>
      <c r="R10" s="13">
        <v>8.8417773440806757E-2</v>
      </c>
    </row>
    <row r="11" spans="1:19" ht="15" customHeight="1" x14ac:dyDescent="0.35">
      <c r="A11" t="s">
        <v>27</v>
      </c>
      <c r="B11" s="9">
        <v>28220</v>
      </c>
      <c r="C11" s="9">
        <v>35961</v>
      </c>
      <c r="D11" s="9">
        <v>39651</v>
      </c>
      <c r="E11" s="9">
        <v>35146</v>
      </c>
      <c r="F11" s="10">
        <v>8505</v>
      </c>
      <c r="G11" s="10">
        <v>7818</v>
      </c>
      <c r="H11" s="10">
        <v>8010</v>
      </c>
      <c r="I11" s="10">
        <v>7388</v>
      </c>
      <c r="J11" s="9">
        <v>31721</v>
      </c>
      <c r="K11" s="11">
        <v>7745</v>
      </c>
      <c r="L11" s="11">
        <v>8581</v>
      </c>
      <c r="M11" s="11">
        <v>10171</v>
      </c>
      <c r="N11" s="11">
        <v>10884</v>
      </c>
      <c r="O11" s="9">
        <v>37381</v>
      </c>
      <c r="P11" s="12">
        <v>0.47319978343259339</v>
      </c>
      <c r="Q11" s="12">
        <v>0.17843069260111588</v>
      </c>
      <c r="R11" s="13">
        <v>1.4383702907908285E-2</v>
      </c>
    </row>
    <row r="12" spans="1:19" ht="15" customHeight="1" x14ac:dyDescent="0.35">
      <c r="A12" t="s">
        <v>28</v>
      </c>
      <c r="B12" s="9">
        <v>31306</v>
      </c>
      <c r="C12" s="9">
        <v>32085</v>
      </c>
      <c r="D12" s="9">
        <v>28556</v>
      </c>
      <c r="E12" s="9">
        <v>23771</v>
      </c>
      <c r="F12" s="10">
        <v>5983</v>
      </c>
      <c r="G12" s="10">
        <v>5804</v>
      </c>
      <c r="H12" s="10">
        <v>6132</v>
      </c>
      <c r="I12" s="10">
        <v>4613</v>
      </c>
      <c r="J12" s="9">
        <v>22532</v>
      </c>
      <c r="K12" s="11">
        <v>3249</v>
      </c>
      <c r="L12" s="11">
        <v>4378</v>
      </c>
      <c r="M12" s="11">
        <v>4338</v>
      </c>
      <c r="N12" s="11">
        <v>4094</v>
      </c>
      <c r="O12" s="9">
        <v>16059</v>
      </c>
      <c r="P12" s="12">
        <v>-0.11250812920008668</v>
      </c>
      <c r="Q12" s="12">
        <v>-0.28728031244452334</v>
      </c>
      <c r="R12" s="13">
        <v>6.1792858671009107E-3</v>
      </c>
    </row>
    <row r="13" spans="1:19" ht="15" customHeight="1" x14ac:dyDescent="0.35">
      <c r="A13" t="s">
        <v>29</v>
      </c>
      <c r="B13" s="9">
        <v>66805</v>
      </c>
      <c r="C13" s="9">
        <v>70437</v>
      </c>
      <c r="D13" s="9">
        <v>68452</v>
      </c>
      <c r="E13" s="9">
        <v>64095</v>
      </c>
      <c r="F13" s="10">
        <v>16940</v>
      </c>
      <c r="G13" s="10">
        <v>16642</v>
      </c>
      <c r="H13" s="10">
        <v>16048</v>
      </c>
      <c r="I13" s="10">
        <v>15513</v>
      </c>
      <c r="J13" s="9">
        <v>65143</v>
      </c>
      <c r="K13" s="11">
        <v>16784</v>
      </c>
      <c r="L13" s="11">
        <v>16131</v>
      </c>
      <c r="M13" s="11">
        <v>16339</v>
      </c>
      <c r="N13" s="11">
        <v>14676</v>
      </c>
      <c r="O13" s="9">
        <v>63930</v>
      </c>
      <c r="P13" s="12">
        <v>-5.3954747631019151E-2</v>
      </c>
      <c r="Q13" s="12">
        <v>-1.862057320049737E-2</v>
      </c>
      <c r="R13" s="13">
        <v>2.4599398809624588E-2</v>
      </c>
    </row>
    <row r="14" spans="1:19" ht="15" customHeight="1" x14ac:dyDescent="0.35">
      <c r="A14" t="s">
        <v>30</v>
      </c>
      <c r="B14" s="9">
        <v>2646</v>
      </c>
      <c r="C14" s="9">
        <v>2365</v>
      </c>
      <c r="D14" s="9">
        <v>2289</v>
      </c>
      <c r="E14" s="9">
        <v>2697</v>
      </c>
      <c r="F14" s="10">
        <v>535</v>
      </c>
      <c r="G14" s="10">
        <v>647</v>
      </c>
      <c r="H14" s="10">
        <v>753</v>
      </c>
      <c r="I14" s="10">
        <v>771</v>
      </c>
      <c r="J14" s="9">
        <v>2706</v>
      </c>
      <c r="K14" s="11">
        <v>487</v>
      </c>
      <c r="L14" s="11">
        <v>709</v>
      </c>
      <c r="M14" s="11">
        <v>639</v>
      </c>
      <c r="N14" s="11">
        <v>700</v>
      </c>
      <c r="O14" s="9">
        <v>2535</v>
      </c>
      <c r="P14" s="12">
        <v>-9.2088197146562911E-2</v>
      </c>
      <c r="Q14" s="12">
        <v>-6.3192904656319326E-2</v>
      </c>
      <c r="R14" s="13">
        <v>9.7543369282650282E-4</v>
      </c>
    </row>
    <row r="15" spans="1:19" ht="15" customHeight="1" x14ac:dyDescent="0.35">
      <c r="A15" t="s">
        <v>31</v>
      </c>
      <c r="B15" s="9">
        <v>476</v>
      </c>
      <c r="C15" s="9">
        <v>384</v>
      </c>
      <c r="D15" s="9">
        <v>613</v>
      </c>
      <c r="E15" s="9">
        <v>594</v>
      </c>
      <c r="F15" s="10">
        <v>251</v>
      </c>
      <c r="G15" s="10">
        <v>321</v>
      </c>
      <c r="H15" s="10">
        <v>273</v>
      </c>
      <c r="I15" s="10">
        <v>340</v>
      </c>
      <c r="J15" s="9">
        <v>1185</v>
      </c>
      <c r="K15" s="11">
        <v>264</v>
      </c>
      <c r="L15" s="11">
        <v>316</v>
      </c>
      <c r="M15" s="11">
        <v>271</v>
      </c>
      <c r="N15" s="11">
        <v>403</v>
      </c>
      <c r="O15" s="9">
        <v>1254</v>
      </c>
      <c r="P15" s="12">
        <v>0.18529411764705883</v>
      </c>
      <c r="Q15" s="12">
        <v>5.8227848101265911E-2</v>
      </c>
      <c r="R15" s="13">
        <v>4.8252222911417537E-4</v>
      </c>
    </row>
    <row r="16" spans="1:19" ht="15" customHeight="1" x14ac:dyDescent="0.35">
      <c r="A16" t="s">
        <v>32</v>
      </c>
      <c r="B16" s="9">
        <v>689218</v>
      </c>
      <c r="C16" s="9">
        <v>712620</v>
      </c>
      <c r="D16" s="9">
        <v>730029</v>
      </c>
      <c r="E16" s="9">
        <v>738536</v>
      </c>
      <c r="F16" s="10">
        <v>174618</v>
      </c>
      <c r="G16" s="10">
        <v>172435</v>
      </c>
      <c r="H16" s="10">
        <v>186707</v>
      </c>
      <c r="I16" s="10">
        <v>186157</v>
      </c>
      <c r="J16" s="9">
        <v>719917</v>
      </c>
      <c r="K16" s="11">
        <v>189957</v>
      </c>
      <c r="L16" s="11">
        <v>180511</v>
      </c>
      <c r="M16" s="11">
        <v>191315</v>
      </c>
      <c r="N16" s="11">
        <v>180788</v>
      </c>
      <c r="O16" s="9">
        <v>742571</v>
      </c>
      <c r="P16" s="12">
        <v>-2.8841246904494633E-2</v>
      </c>
      <c r="Q16" s="12">
        <v>3.1467516394251049E-2</v>
      </c>
      <c r="R16" s="13">
        <v>0.28573127128831127</v>
      </c>
    </row>
    <row r="17" spans="1:18" ht="15" customHeight="1" x14ac:dyDescent="0.35">
      <c r="A17" t="s">
        <v>33</v>
      </c>
      <c r="B17" s="9">
        <v>345840</v>
      </c>
      <c r="C17" s="9">
        <v>334384</v>
      </c>
      <c r="D17" s="9">
        <v>340815</v>
      </c>
      <c r="E17" s="9">
        <v>334188</v>
      </c>
      <c r="F17" s="10">
        <v>83011</v>
      </c>
      <c r="G17" s="10">
        <v>80086</v>
      </c>
      <c r="H17" s="10">
        <v>83893</v>
      </c>
      <c r="I17" s="10">
        <v>82254</v>
      </c>
      <c r="J17" s="9">
        <v>329244</v>
      </c>
      <c r="K17" s="11">
        <v>89026</v>
      </c>
      <c r="L17" s="11">
        <v>83106</v>
      </c>
      <c r="M17" s="11">
        <v>87843</v>
      </c>
      <c r="N17" s="11">
        <v>85597</v>
      </c>
      <c r="O17" s="9">
        <v>345572</v>
      </c>
      <c r="P17" s="12">
        <v>4.0642400369586884E-2</v>
      </c>
      <c r="Q17" s="12">
        <v>4.9592399557774725E-2</v>
      </c>
      <c r="R17" s="13">
        <v>0.13297142883528215</v>
      </c>
    </row>
    <row r="18" spans="1:18" ht="15" customHeight="1" x14ac:dyDescent="0.35">
      <c r="A18" t="s">
        <v>34</v>
      </c>
      <c r="B18" s="9">
        <v>38565</v>
      </c>
      <c r="C18" s="9">
        <v>27791</v>
      </c>
      <c r="D18" s="9">
        <v>23293</v>
      </c>
      <c r="E18" s="9">
        <v>15778</v>
      </c>
      <c r="F18" s="10">
        <v>2813</v>
      </c>
      <c r="G18" s="10">
        <v>2758</v>
      </c>
      <c r="H18" s="10">
        <v>1962</v>
      </c>
      <c r="I18" s="10">
        <v>2660</v>
      </c>
      <c r="J18" s="9">
        <v>10193</v>
      </c>
      <c r="K18" s="11">
        <v>1374</v>
      </c>
      <c r="L18" s="11">
        <v>1925</v>
      </c>
      <c r="M18" s="11">
        <v>1791</v>
      </c>
      <c r="N18" s="11">
        <v>2274</v>
      </c>
      <c r="O18" s="9">
        <v>7364</v>
      </c>
      <c r="P18" s="12">
        <v>-0.14511278195488719</v>
      </c>
      <c r="Q18" s="12">
        <v>-0.27754341214559008</v>
      </c>
      <c r="R18" s="13">
        <v>2.8335675400293363E-3</v>
      </c>
    </row>
    <row r="19" spans="1:18" ht="15" customHeight="1" x14ac:dyDescent="0.35">
      <c r="A19" t="s">
        <v>35</v>
      </c>
      <c r="B19" s="9">
        <f>SUBTOTAL(109,Tabell_Gris[2020])</f>
        <v>2617581</v>
      </c>
      <c r="C19" s="9">
        <f>SUBTOTAL(109,Tabell_Gris[2021])</f>
        <v>2647847</v>
      </c>
      <c r="D19" s="9">
        <f>SUBTOTAL(109,Tabell_Gris[2022])</f>
        <v>2668928</v>
      </c>
      <c r="E19" s="9">
        <f>SUBTOTAL(109,Tabell_Gris[2023])</f>
        <v>2568334</v>
      </c>
      <c r="F19" s="9">
        <f>SUBTOTAL(109,Tabell_Gris[Kvartal 1 2024])</f>
        <v>650373</v>
      </c>
      <c r="G19" s="9">
        <f>SUBTOTAL(109,Tabell_Gris[Kvartal 2 2024])</f>
        <v>626105</v>
      </c>
      <c r="H19" s="9">
        <f>SUBTOTAL(109,Tabell_Gris[Kvartal 3 2024])</f>
        <v>659083</v>
      </c>
      <c r="I19" s="9">
        <f>SUBTOTAL(109,Tabell_Gris[Kvartal 4 2024])</f>
        <v>641075</v>
      </c>
      <c r="J19" s="9">
        <f>SUBTOTAL(109,Tabell_Gris[2024])</f>
        <v>2576636</v>
      </c>
      <c r="K19" s="9">
        <f>SUBTOTAL(109,Tabell_Gris[Kvartal 1 2025])</f>
        <v>658272</v>
      </c>
      <c r="L19" s="9">
        <f>SUBTOTAL(109,Tabell_Gris[Kvartal 2 2025])</f>
        <v>626735</v>
      </c>
      <c r="M19" s="9">
        <f>SUBTOTAL(109,Tabell_Gris[Kvartal 3 2025])</f>
        <v>665268</v>
      </c>
      <c r="N19" s="9">
        <f>SUBTOTAL(109,Tabell_Gris[Kvartal 4 2025])</f>
        <v>648569</v>
      </c>
      <c r="O19" s="9">
        <f>SUBTOTAL(109,Tabell_Gris[2025])</f>
        <v>2598844</v>
      </c>
      <c r="P19" s="15">
        <f>N19/I19-1</f>
        <v>1.1689739890028417E-2</v>
      </c>
      <c r="Q19" s="15">
        <f>O19/SUM(F19:I19)-1</f>
        <v>8.6189900319642021E-3</v>
      </c>
      <c r="R19" s="13">
        <f>SUBTOTAL(109,Tabell_Gris[Procentuell andel 2025*])</f>
        <v>1</v>
      </c>
    </row>
    <row r="20" spans="1:18" ht="15" customHeight="1" x14ac:dyDescent="0.35">
      <c r="A20" t="s">
        <v>36</v>
      </c>
    </row>
    <row r="21" spans="1:18" ht="15" customHeight="1" x14ac:dyDescent="0.35">
      <c r="A21" t="s">
        <v>37</v>
      </c>
    </row>
    <row r="22" spans="1:18" ht="15" customHeight="1" x14ac:dyDescent="0.35">
      <c r="A22" t="s">
        <v>38</v>
      </c>
    </row>
    <row r="23" spans="1:18" ht="15" customHeight="1" x14ac:dyDescent="0.35">
      <c r="A23" t="s">
        <v>39</v>
      </c>
    </row>
    <row r="24" spans="1:18" ht="15" customHeight="1" x14ac:dyDescent="0.35"/>
    <row r="25" spans="1:18" ht="15" customHeight="1" x14ac:dyDescent="0.35"/>
    <row r="26" spans="1:18" ht="15" customHeight="1" x14ac:dyDescent="0.35"/>
    <row r="27" spans="1:18" ht="15" customHeight="1" x14ac:dyDescent="0.35"/>
    <row r="28" spans="1:18" ht="15" customHeight="1" x14ac:dyDescent="0.35"/>
    <row r="29" spans="1:18" ht="15" customHeight="1" x14ac:dyDescent="0.35"/>
    <row r="30" spans="1:18" ht="15" customHeight="1" x14ac:dyDescent="0.35"/>
    <row r="31" spans="1:18" ht="15" customHeight="1" x14ac:dyDescent="0.35"/>
    <row r="32" spans="1:18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E65F9-A6FE-4D22-86EE-C8FA674934CB}">
  <sheetPr codeName="flStorb">
    <pageSetUpPr fitToPage="1"/>
  </sheetPr>
  <dimension ref="A1:R79"/>
  <sheetViews>
    <sheetView workbookViewId="0">
      <selection activeCell="A2" sqref="A2"/>
    </sheetView>
  </sheetViews>
  <sheetFormatPr defaultColWidth="9.1796875" defaultRowHeight="14.5" x14ac:dyDescent="0.35"/>
  <cols>
    <col min="1" max="1" width="27" customWidth="1"/>
    <col min="2" max="15" width="8.26953125" customWidth="1"/>
    <col min="16" max="16" width="9.26953125" customWidth="1"/>
    <col min="17" max="17" width="10.1796875" customWidth="1"/>
    <col min="18" max="18" width="10" customWidth="1"/>
  </cols>
  <sheetData>
    <row r="1" spans="1:18" ht="92.25" customHeight="1" x14ac:dyDescent="0.35">
      <c r="A1" s="1" t="s">
        <v>40</v>
      </c>
      <c r="C1" s="1"/>
      <c r="J1" s="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41</v>
      </c>
      <c r="B3" s="9">
        <v>1442</v>
      </c>
      <c r="C3" s="9">
        <v>1385</v>
      </c>
      <c r="D3" s="9">
        <v>1479</v>
      </c>
      <c r="E3" s="9">
        <v>1761</v>
      </c>
      <c r="F3" s="10">
        <v>385</v>
      </c>
      <c r="G3" s="10">
        <v>412</v>
      </c>
      <c r="H3" s="10">
        <v>352</v>
      </c>
      <c r="I3" s="10">
        <v>469</v>
      </c>
      <c r="J3" s="9">
        <v>1618</v>
      </c>
      <c r="K3" s="11">
        <v>392</v>
      </c>
      <c r="L3" s="11">
        <v>346</v>
      </c>
      <c r="M3" s="11">
        <v>405</v>
      </c>
      <c r="N3" s="11">
        <v>521</v>
      </c>
      <c r="O3" s="9">
        <v>1664</v>
      </c>
      <c r="P3" s="12">
        <v>0.11087420042643914</v>
      </c>
      <c r="Q3" s="12">
        <v>2.8430160692212603E-2</v>
      </c>
      <c r="R3" s="13">
        <v>4.4327705348627816E-3</v>
      </c>
    </row>
    <row r="4" spans="1:18" ht="15" customHeight="1" x14ac:dyDescent="0.35">
      <c r="A4" t="s">
        <v>42</v>
      </c>
      <c r="B4" s="9">
        <v>1755</v>
      </c>
      <c r="C4" s="9">
        <v>1922</v>
      </c>
      <c r="D4" s="9">
        <v>2108</v>
      </c>
      <c r="E4" s="9">
        <v>2098</v>
      </c>
      <c r="F4" s="10">
        <v>471</v>
      </c>
      <c r="G4" s="10">
        <v>544</v>
      </c>
      <c r="H4" s="10">
        <v>497</v>
      </c>
      <c r="I4" s="10">
        <v>472</v>
      </c>
      <c r="J4" s="9">
        <v>1984</v>
      </c>
      <c r="K4" s="11">
        <v>471</v>
      </c>
      <c r="L4" s="11">
        <v>513</v>
      </c>
      <c r="M4" s="11">
        <v>509</v>
      </c>
      <c r="N4" s="11">
        <v>485</v>
      </c>
      <c r="O4" s="9">
        <v>1978</v>
      </c>
      <c r="P4" s="12">
        <v>2.754237288135597E-2</v>
      </c>
      <c r="Q4" s="12">
        <v>-3.0241935483871218E-3</v>
      </c>
      <c r="R4" s="13">
        <v>5.2692428593501088E-3</v>
      </c>
    </row>
    <row r="5" spans="1:18" ht="15" customHeight="1" x14ac:dyDescent="0.35">
      <c r="A5" t="s">
        <v>43</v>
      </c>
      <c r="B5" s="9">
        <v>318</v>
      </c>
      <c r="C5" s="9">
        <v>368</v>
      </c>
      <c r="D5" s="9">
        <v>458</v>
      </c>
      <c r="E5" s="9">
        <v>521</v>
      </c>
      <c r="F5" s="10">
        <v>67</v>
      </c>
      <c r="G5" s="10">
        <v>85</v>
      </c>
      <c r="H5" s="10">
        <v>55</v>
      </c>
      <c r="I5" s="10">
        <v>206</v>
      </c>
      <c r="J5" s="9">
        <v>413</v>
      </c>
      <c r="K5" s="11">
        <v>82</v>
      </c>
      <c r="L5" s="11">
        <v>83</v>
      </c>
      <c r="M5" s="11">
        <v>73</v>
      </c>
      <c r="N5" s="11">
        <v>238</v>
      </c>
      <c r="O5" s="9">
        <v>476</v>
      </c>
      <c r="P5" s="12">
        <v>0.15533980582524265</v>
      </c>
      <c r="Q5" s="12">
        <v>0.15254237288135597</v>
      </c>
      <c r="R5" s="13">
        <v>1.2680281097323821E-3</v>
      </c>
    </row>
    <row r="6" spans="1:18" ht="15" customHeight="1" x14ac:dyDescent="0.35">
      <c r="A6" t="s">
        <v>22</v>
      </c>
      <c r="B6" s="9">
        <v>17416</v>
      </c>
      <c r="C6" s="9">
        <v>16340</v>
      </c>
      <c r="D6" s="9">
        <v>16534</v>
      </c>
      <c r="E6" s="9">
        <v>19177</v>
      </c>
      <c r="F6" s="10">
        <v>4436</v>
      </c>
      <c r="G6" s="10">
        <v>4333</v>
      </c>
      <c r="H6" s="10">
        <v>4868</v>
      </c>
      <c r="I6" s="10">
        <v>5621</v>
      </c>
      <c r="J6" s="9">
        <v>19258</v>
      </c>
      <c r="K6" s="11">
        <v>4237</v>
      </c>
      <c r="L6" s="11">
        <v>4384</v>
      </c>
      <c r="M6" s="11">
        <v>4413</v>
      </c>
      <c r="N6" s="11">
        <v>5078</v>
      </c>
      <c r="O6" s="9">
        <v>18112</v>
      </c>
      <c r="P6" s="12">
        <v>-9.6602028108877414E-2</v>
      </c>
      <c r="Q6" s="12">
        <v>-5.9507737044345199E-2</v>
      </c>
      <c r="R6" s="13">
        <v>4.8249002360237193E-2</v>
      </c>
    </row>
    <row r="7" spans="1:18" ht="15" customHeight="1" x14ac:dyDescent="0.35">
      <c r="A7" t="s">
        <v>44</v>
      </c>
      <c r="B7" s="9">
        <v>9019</v>
      </c>
      <c r="C7" s="9">
        <v>10001</v>
      </c>
      <c r="D7" s="9">
        <v>9636</v>
      </c>
      <c r="E7" s="9">
        <v>12881</v>
      </c>
      <c r="F7" s="10">
        <v>3317</v>
      </c>
      <c r="G7" s="10">
        <v>2716</v>
      </c>
      <c r="H7" s="10">
        <v>3009</v>
      </c>
      <c r="I7" s="10">
        <v>3304</v>
      </c>
      <c r="J7" s="9">
        <v>12346</v>
      </c>
      <c r="K7" s="11">
        <v>3062</v>
      </c>
      <c r="L7" s="11">
        <v>2507</v>
      </c>
      <c r="M7" s="11">
        <v>2654</v>
      </c>
      <c r="N7" s="11">
        <v>3281</v>
      </c>
      <c r="O7" s="9">
        <v>11504</v>
      </c>
      <c r="P7" s="12">
        <v>-6.9612590799031926E-3</v>
      </c>
      <c r="Q7" s="12">
        <v>-6.8200226794103314E-2</v>
      </c>
      <c r="R7" s="13">
        <v>3.064578860159942E-2</v>
      </c>
    </row>
    <row r="8" spans="1:18" ht="15" customHeight="1" x14ac:dyDescent="0.35">
      <c r="A8" t="s">
        <v>45</v>
      </c>
      <c r="B8" s="9">
        <v>14795</v>
      </c>
      <c r="C8" s="9">
        <v>14349</v>
      </c>
      <c r="D8" s="9">
        <v>14578</v>
      </c>
      <c r="E8" s="9">
        <v>14573</v>
      </c>
      <c r="F8" s="10">
        <v>3236</v>
      </c>
      <c r="G8" s="10">
        <v>3104</v>
      </c>
      <c r="H8" s="10">
        <v>3387</v>
      </c>
      <c r="I8" s="10">
        <v>3658</v>
      </c>
      <c r="J8" s="9">
        <v>13385</v>
      </c>
      <c r="K8" s="11">
        <v>2405</v>
      </c>
      <c r="L8" s="11">
        <v>2155</v>
      </c>
      <c r="M8" s="11">
        <v>2975</v>
      </c>
      <c r="N8" s="11">
        <v>3577</v>
      </c>
      <c r="O8" s="9">
        <v>11112</v>
      </c>
      <c r="P8" s="12">
        <v>-2.2143247676325806E-2</v>
      </c>
      <c r="Q8" s="12">
        <v>-0.16981695928277918</v>
      </c>
      <c r="R8" s="13">
        <v>2.9601530158290399E-2</v>
      </c>
    </row>
    <row r="9" spans="1:18" ht="15" customHeight="1" x14ac:dyDescent="0.35">
      <c r="A9" t="s">
        <v>46</v>
      </c>
      <c r="B9" s="9">
        <v>3479</v>
      </c>
      <c r="C9" s="9">
        <v>3488</v>
      </c>
      <c r="D9" s="9">
        <v>3566</v>
      </c>
      <c r="E9" s="9">
        <v>3267</v>
      </c>
      <c r="F9" s="10">
        <v>816</v>
      </c>
      <c r="G9" s="10">
        <v>897</v>
      </c>
      <c r="H9" s="10">
        <v>891</v>
      </c>
      <c r="I9" s="10">
        <v>908</v>
      </c>
      <c r="J9" s="9">
        <v>3512</v>
      </c>
      <c r="K9" s="11">
        <v>731</v>
      </c>
      <c r="L9" s="11">
        <v>727</v>
      </c>
      <c r="M9" s="11">
        <v>664</v>
      </c>
      <c r="N9" s="11">
        <v>918</v>
      </c>
      <c r="O9" s="9">
        <v>3040</v>
      </c>
      <c r="P9" s="12">
        <v>1.1013215859030812E-2</v>
      </c>
      <c r="Q9" s="12">
        <v>-0.13439635535307515</v>
      </c>
      <c r="R9" s="13">
        <v>8.0983307848454655E-3</v>
      </c>
    </row>
    <row r="10" spans="1:18" ht="15" customHeight="1" x14ac:dyDescent="0.35">
      <c r="A10" t="s">
        <v>23</v>
      </c>
      <c r="B10" s="9">
        <v>7883</v>
      </c>
      <c r="C10" s="9">
        <v>5917</v>
      </c>
      <c r="D10" s="9">
        <v>7466</v>
      </c>
      <c r="E10" s="9">
        <v>10006</v>
      </c>
      <c r="F10" s="10">
        <v>2811</v>
      </c>
      <c r="G10" s="10">
        <v>2655</v>
      </c>
      <c r="H10" s="10">
        <v>2992</v>
      </c>
      <c r="I10" s="10">
        <v>2687</v>
      </c>
      <c r="J10" s="9">
        <v>11145</v>
      </c>
      <c r="K10" s="11">
        <v>2721</v>
      </c>
      <c r="L10" s="11">
        <v>2611</v>
      </c>
      <c r="M10" s="11">
        <v>2881</v>
      </c>
      <c r="N10" s="11">
        <v>2616</v>
      </c>
      <c r="O10" s="9">
        <v>10829</v>
      </c>
      <c r="P10" s="12">
        <v>-2.6423520655005528E-2</v>
      </c>
      <c r="Q10" s="12">
        <v>-2.8353521758636147E-2</v>
      </c>
      <c r="R10" s="13">
        <v>2.8847639496411694E-2</v>
      </c>
    </row>
    <row r="11" spans="1:18" ht="15" customHeight="1" x14ac:dyDescent="0.35">
      <c r="A11" t="s">
        <v>47</v>
      </c>
      <c r="B11" s="9">
        <v>5242</v>
      </c>
      <c r="C11" s="9">
        <v>6125</v>
      </c>
      <c r="D11" s="9">
        <v>6078</v>
      </c>
      <c r="E11" s="9">
        <v>5993</v>
      </c>
      <c r="F11" s="10">
        <v>1779</v>
      </c>
      <c r="G11" s="10">
        <v>1638</v>
      </c>
      <c r="H11" s="10">
        <v>1875</v>
      </c>
      <c r="I11" s="10">
        <v>2471</v>
      </c>
      <c r="J11" s="9">
        <v>7763</v>
      </c>
      <c r="K11" s="11">
        <v>1598</v>
      </c>
      <c r="L11" s="11">
        <v>1447</v>
      </c>
      <c r="M11" s="11">
        <v>1641</v>
      </c>
      <c r="N11" s="11">
        <v>2288</v>
      </c>
      <c r="O11" s="9">
        <v>6974</v>
      </c>
      <c r="P11" s="12">
        <v>-7.4059085390530188E-2</v>
      </c>
      <c r="Q11" s="12">
        <v>-0.10163596547726395</v>
      </c>
      <c r="R11" s="13">
        <v>1.8578210162339567E-2</v>
      </c>
    </row>
    <row r="12" spans="1:18" ht="15" customHeight="1" x14ac:dyDescent="0.35">
      <c r="A12" t="s">
        <v>24</v>
      </c>
      <c r="B12" s="9">
        <v>32514</v>
      </c>
      <c r="C12" s="9">
        <v>34764</v>
      </c>
      <c r="D12" s="9">
        <v>34837</v>
      </c>
      <c r="E12" s="9">
        <v>35543</v>
      </c>
      <c r="F12" s="10">
        <v>8661</v>
      </c>
      <c r="G12" s="10">
        <v>8063</v>
      </c>
      <c r="H12" s="10">
        <v>8878</v>
      </c>
      <c r="I12" s="10">
        <v>8429</v>
      </c>
      <c r="J12" s="9">
        <v>34031</v>
      </c>
      <c r="K12" s="11">
        <v>7251</v>
      </c>
      <c r="L12" s="11">
        <v>6774</v>
      </c>
      <c r="M12" s="11">
        <v>7925</v>
      </c>
      <c r="N12" s="11">
        <v>7412</v>
      </c>
      <c r="O12" s="9">
        <v>29362</v>
      </c>
      <c r="P12" s="12">
        <v>-0.12065488195515484</v>
      </c>
      <c r="Q12" s="12">
        <v>-0.13719843671946164</v>
      </c>
      <c r="R12" s="13">
        <v>7.8218154113365981E-2</v>
      </c>
    </row>
    <row r="13" spans="1:18" ht="15" customHeight="1" x14ac:dyDescent="0.35">
      <c r="A13" t="s">
        <v>25</v>
      </c>
      <c r="B13" s="9">
        <v>57394</v>
      </c>
      <c r="C13" s="9">
        <v>51303</v>
      </c>
      <c r="D13" s="9">
        <v>51489</v>
      </c>
      <c r="E13" s="9">
        <v>54678</v>
      </c>
      <c r="F13" s="10">
        <v>13598</v>
      </c>
      <c r="G13" s="10">
        <v>12792</v>
      </c>
      <c r="H13" s="10">
        <v>14421</v>
      </c>
      <c r="I13" s="10">
        <v>15453</v>
      </c>
      <c r="J13" s="9">
        <v>56264</v>
      </c>
      <c r="K13" s="11">
        <v>11015</v>
      </c>
      <c r="L13" s="11">
        <v>10831</v>
      </c>
      <c r="M13" s="11">
        <v>13358</v>
      </c>
      <c r="N13" s="11">
        <v>14924</v>
      </c>
      <c r="O13" s="9">
        <v>50128</v>
      </c>
      <c r="P13" s="12">
        <v>-3.423283504821073E-2</v>
      </c>
      <c r="Q13" s="12">
        <v>-0.10905730129390023</v>
      </c>
      <c r="R13" s="13">
        <v>0.1335372123627413</v>
      </c>
    </row>
    <row r="14" spans="1:18" ht="15" customHeight="1" x14ac:dyDescent="0.35">
      <c r="A14" t="s">
        <v>48</v>
      </c>
      <c r="B14" s="9">
        <v>50476</v>
      </c>
      <c r="C14" s="9">
        <v>43519</v>
      </c>
      <c r="D14" s="9">
        <v>45187</v>
      </c>
      <c r="E14" s="9">
        <v>49956</v>
      </c>
      <c r="F14" s="10">
        <v>12063</v>
      </c>
      <c r="G14" s="10">
        <v>12119</v>
      </c>
      <c r="H14" s="10">
        <v>13450</v>
      </c>
      <c r="I14" s="10">
        <v>14309</v>
      </c>
      <c r="J14" s="9">
        <v>51941</v>
      </c>
      <c r="K14" s="11">
        <v>11086</v>
      </c>
      <c r="L14" s="11">
        <v>10707</v>
      </c>
      <c r="M14" s="11">
        <v>11930</v>
      </c>
      <c r="N14" s="11">
        <v>11815</v>
      </c>
      <c r="O14" s="9">
        <v>45538</v>
      </c>
      <c r="P14" s="12">
        <v>-0.17429589768677056</v>
      </c>
      <c r="Q14" s="12">
        <v>-0.12327448451127243</v>
      </c>
      <c r="R14" s="13">
        <v>0.12130979844746474</v>
      </c>
    </row>
    <row r="15" spans="1:18" ht="15" customHeight="1" x14ac:dyDescent="0.35">
      <c r="A15" t="s">
        <v>28</v>
      </c>
      <c r="B15" s="9">
        <v>5467</v>
      </c>
      <c r="C15" s="9">
        <v>5501</v>
      </c>
      <c r="D15" s="9">
        <v>5324</v>
      </c>
      <c r="E15" s="9">
        <v>5905</v>
      </c>
      <c r="F15" s="10">
        <v>1681</v>
      </c>
      <c r="G15" s="10">
        <v>1330</v>
      </c>
      <c r="H15" s="10">
        <v>1443</v>
      </c>
      <c r="I15" s="10">
        <v>1095</v>
      </c>
      <c r="J15" s="9">
        <v>5549</v>
      </c>
      <c r="K15" s="11">
        <v>684</v>
      </c>
      <c r="L15" s="11">
        <v>1099</v>
      </c>
      <c r="M15" s="11">
        <v>1399</v>
      </c>
      <c r="N15" s="11">
        <v>1300</v>
      </c>
      <c r="O15" s="9">
        <v>4482</v>
      </c>
      <c r="P15" s="12">
        <v>0.18721461187214605</v>
      </c>
      <c r="Q15" s="12">
        <v>-0.19228689854027747</v>
      </c>
      <c r="R15" s="13">
        <v>1.1939710058446506E-2</v>
      </c>
    </row>
    <row r="16" spans="1:18" ht="15" customHeight="1" x14ac:dyDescent="0.35">
      <c r="A16" t="s">
        <v>49</v>
      </c>
      <c r="B16" s="9">
        <v>3376</v>
      </c>
      <c r="C16" s="9">
        <v>2735</v>
      </c>
      <c r="D16" s="9">
        <v>2690</v>
      </c>
      <c r="E16" s="9">
        <v>2660</v>
      </c>
      <c r="F16" s="10">
        <v>688</v>
      </c>
      <c r="G16" s="10">
        <v>668</v>
      </c>
      <c r="H16" s="10">
        <v>712</v>
      </c>
      <c r="I16" s="10">
        <v>755</v>
      </c>
      <c r="J16" s="9">
        <v>2823</v>
      </c>
      <c r="K16" s="11">
        <v>824</v>
      </c>
      <c r="L16" s="11">
        <v>779</v>
      </c>
      <c r="M16" s="11">
        <v>1050</v>
      </c>
      <c r="N16" s="11">
        <v>1207</v>
      </c>
      <c r="O16" s="9">
        <v>3860</v>
      </c>
      <c r="P16" s="12">
        <v>0.59867549668874176</v>
      </c>
      <c r="Q16" s="12">
        <v>0.36733970952886996</v>
      </c>
      <c r="R16" s="13">
        <v>1.0282748957073519E-2</v>
      </c>
    </row>
    <row r="17" spans="1:18" ht="15" customHeight="1" x14ac:dyDescent="0.35">
      <c r="A17" t="s">
        <v>50</v>
      </c>
      <c r="B17" s="9">
        <v>7398</v>
      </c>
      <c r="C17" s="9">
        <v>7598</v>
      </c>
      <c r="D17" s="9">
        <v>7371</v>
      </c>
      <c r="E17" s="9">
        <v>6808</v>
      </c>
      <c r="F17" s="10">
        <v>1793</v>
      </c>
      <c r="G17" s="10">
        <v>1546</v>
      </c>
      <c r="H17" s="10">
        <v>1683</v>
      </c>
      <c r="I17" s="10">
        <v>1858</v>
      </c>
      <c r="J17" s="9">
        <v>6880</v>
      </c>
      <c r="K17" s="11">
        <v>1493</v>
      </c>
      <c r="L17" s="11">
        <v>1334</v>
      </c>
      <c r="M17" s="11">
        <v>1564</v>
      </c>
      <c r="N17" s="11">
        <v>1400</v>
      </c>
      <c r="O17" s="9">
        <v>5791</v>
      </c>
      <c r="P17" s="12">
        <v>-0.24650161463939724</v>
      </c>
      <c r="Q17" s="12">
        <v>-0.15828488372093019</v>
      </c>
      <c r="R17" s="13">
        <v>1.5426787360210557E-2</v>
      </c>
    </row>
    <row r="18" spans="1:18" ht="15" customHeight="1" x14ac:dyDescent="0.35">
      <c r="A18" t="s">
        <v>51</v>
      </c>
      <c r="B18" s="9">
        <v>7178</v>
      </c>
      <c r="C18" s="9">
        <v>6761</v>
      </c>
      <c r="D18" s="9">
        <v>6898</v>
      </c>
      <c r="E18" s="9">
        <v>6931</v>
      </c>
      <c r="F18" s="10">
        <v>1786</v>
      </c>
      <c r="G18" s="10">
        <v>1366</v>
      </c>
      <c r="H18" s="10">
        <v>1810</v>
      </c>
      <c r="I18" s="10">
        <v>1713</v>
      </c>
      <c r="J18" s="9">
        <v>6675</v>
      </c>
      <c r="K18" s="11">
        <v>1370</v>
      </c>
      <c r="L18" s="11">
        <v>1426</v>
      </c>
      <c r="M18" s="11">
        <v>1635</v>
      </c>
      <c r="N18" s="11">
        <v>1828</v>
      </c>
      <c r="O18" s="9">
        <v>6259</v>
      </c>
      <c r="P18" s="12">
        <v>6.7133683596030336E-2</v>
      </c>
      <c r="Q18" s="12">
        <v>-6.2322097378277208E-2</v>
      </c>
      <c r="R18" s="13">
        <v>1.6673504073140714E-2</v>
      </c>
    </row>
    <row r="19" spans="1:18" ht="15" customHeight="1" x14ac:dyDescent="0.35">
      <c r="A19" t="s">
        <v>52</v>
      </c>
      <c r="B19" s="9">
        <v>10916</v>
      </c>
      <c r="C19" s="9">
        <v>10507</v>
      </c>
      <c r="D19" s="9">
        <v>11319</v>
      </c>
      <c r="E19" s="9">
        <v>10920</v>
      </c>
      <c r="F19" s="10">
        <v>2819</v>
      </c>
      <c r="G19" s="10">
        <v>2718</v>
      </c>
      <c r="H19" s="10">
        <v>2514</v>
      </c>
      <c r="I19" s="10">
        <v>2885</v>
      </c>
      <c r="J19" s="9">
        <v>10936</v>
      </c>
      <c r="K19" s="11">
        <v>2487</v>
      </c>
      <c r="L19" s="11">
        <v>2340</v>
      </c>
      <c r="M19" s="11">
        <v>2881</v>
      </c>
      <c r="N19" s="11">
        <v>3145</v>
      </c>
      <c r="O19" s="9">
        <v>10853</v>
      </c>
      <c r="P19" s="12">
        <v>9.0121317157712211E-2</v>
      </c>
      <c r="Q19" s="12">
        <v>-7.5896122896854656E-3</v>
      </c>
      <c r="R19" s="13">
        <v>2.8911573686818369E-2</v>
      </c>
    </row>
    <row r="20" spans="1:18" ht="15" customHeight="1" x14ac:dyDescent="0.35">
      <c r="A20" t="s">
        <v>53</v>
      </c>
      <c r="B20" s="9">
        <v>3346</v>
      </c>
      <c r="C20" s="9">
        <v>3001</v>
      </c>
      <c r="D20" s="9">
        <v>2906</v>
      </c>
      <c r="E20" s="9">
        <v>3122</v>
      </c>
      <c r="F20" s="10">
        <v>726</v>
      </c>
      <c r="G20" s="10">
        <v>757</v>
      </c>
      <c r="H20" s="10">
        <v>649</v>
      </c>
      <c r="I20" s="10">
        <v>879</v>
      </c>
      <c r="J20" s="9">
        <v>3011</v>
      </c>
      <c r="K20" s="11">
        <v>358</v>
      </c>
      <c r="L20" s="11">
        <v>448</v>
      </c>
      <c r="M20" s="11">
        <v>466</v>
      </c>
      <c r="N20" s="11">
        <v>708</v>
      </c>
      <c r="O20" s="9">
        <v>1980</v>
      </c>
      <c r="P20" s="12">
        <v>-0.19453924914675769</v>
      </c>
      <c r="Q20" s="12">
        <v>-0.34241115908336106</v>
      </c>
      <c r="R20" s="13">
        <v>5.2745707085506653E-3</v>
      </c>
    </row>
    <row r="21" spans="1:18" ht="15" customHeight="1" x14ac:dyDescent="0.35">
      <c r="A21" t="s">
        <v>29</v>
      </c>
      <c r="B21" s="9">
        <v>18354</v>
      </c>
      <c r="C21" s="9">
        <v>18427</v>
      </c>
      <c r="D21" s="9">
        <v>17275</v>
      </c>
      <c r="E21" s="9">
        <v>18034</v>
      </c>
      <c r="F21" s="10">
        <v>4139</v>
      </c>
      <c r="G21" s="10">
        <v>4579</v>
      </c>
      <c r="H21" s="10">
        <v>5026</v>
      </c>
      <c r="I21" s="10">
        <v>5072</v>
      </c>
      <c r="J21" s="9">
        <v>18816</v>
      </c>
      <c r="K21" s="11">
        <v>3516</v>
      </c>
      <c r="L21" s="11">
        <v>4081</v>
      </c>
      <c r="M21" s="11">
        <v>4485</v>
      </c>
      <c r="N21" s="11">
        <v>4565</v>
      </c>
      <c r="O21" s="9">
        <v>16647</v>
      </c>
      <c r="P21" s="12">
        <v>-9.9960567823343838E-2</v>
      </c>
      <c r="Q21" s="12">
        <v>-0.11527423469387754</v>
      </c>
      <c r="R21" s="13">
        <v>4.4346352820829757E-2</v>
      </c>
    </row>
    <row r="22" spans="1:18" ht="15" customHeight="1" x14ac:dyDescent="0.35">
      <c r="A22" t="s">
        <v>30</v>
      </c>
      <c r="B22" s="9">
        <v>519</v>
      </c>
      <c r="C22" s="9">
        <v>585</v>
      </c>
      <c r="D22" s="9">
        <v>585</v>
      </c>
      <c r="E22" s="9">
        <v>584</v>
      </c>
      <c r="F22" s="10">
        <v>140</v>
      </c>
      <c r="G22" s="10">
        <v>166</v>
      </c>
      <c r="H22" s="10">
        <v>165</v>
      </c>
      <c r="I22" s="10">
        <v>128</v>
      </c>
      <c r="J22" s="9">
        <v>599</v>
      </c>
      <c r="K22" s="11">
        <v>139</v>
      </c>
      <c r="L22" s="11">
        <v>148</v>
      </c>
      <c r="M22" s="11">
        <v>137</v>
      </c>
      <c r="N22" s="11">
        <v>133</v>
      </c>
      <c r="O22" s="9">
        <v>557</v>
      </c>
      <c r="P22" s="12">
        <v>3.90625E-2</v>
      </c>
      <c r="Q22" s="12">
        <v>-7.0116861435726263E-2</v>
      </c>
      <c r="R22" s="13">
        <v>1.4838060023549093E-3</v>
      </c>
    </row>
    <row r="23" spans="1:18" ht="15" customHeight="1" x14ac:dyDescent="0.35">
      <c r="A23" t="s">
        <v>54</v>
      </c>
      <c r="B23" s="9">
        <v>103198</v>
      </c>
      <c r="C23" s="9">
        <v>101310</v>
      </c>
      <c r="D23" s="9">
        <v>100650</v>
      </c>
      <c r="E23" s="9">
        <v>97327</v>
      </c>
      <c r="F23" s="10">
        <v>26179</v>
      </c>
      <c r="G23" s="10">
        <v>21785</v>
      </c>
      <c r="H23" s="10">
        <v>24319</v>
      </c>
      <c r="I23" s="10">
        <v>26260</v>
      </c>
      <c r="J23" s="9">
        <v>98543</v>
      </c>
      <c r="K23" s="11">
        <v>24067</v>
      </c>
      <c r="L23" s="11">
        <v>21858</v>
      </c>
      <c r="M23" s="11">
        <v>24091</v>
      </c>
      <c r="N23" s="11">
        <v>24275</v>
      </c>
      <c r="O23" s="9">
        <v>94291</v>
      </c>
      <c r="P23" s="12">
        <v>-7.5590251332825598E-2</v>
      </c>
      <c r="Q23" s="12">
        <v>-4.3148676212414916E-2</v>
      </c>
      <c r="R23" s="13">
        <v>0.25118411448482364</v>
      </c>
    </row>
    <row r="24" spans="1:18" ht="15" customHeight="1" x14ac:dyDescent="0.35">
      <c r="A24" t="s">
        <v>55</v>
      </c>
      <c r="B24" s="9">
        <v>1728</v>
      </c>
      <c r="C24" s="9">
        <v>1576</v>
      </c>
      <c r="D24" s="9">
        <v>1132</v>
      </c>
      <c r="E24" s="9">
        <v>952</v>
      </c>
      <c r="F24" s="10">
        <v>214</v>
      </c>
      <c r="G24" s="10">
        <v>194</v>
      </c>
      <c r="H24" s="10">
        <v>127</v>
      </c>
      <c r="I24" s="10">
        <v>182</v>
      </c>
      <c r="J24" s="9">
        <v>717</v>
      </c>
      <c r="K24" s="11">
        <v>204</v>
      </c>
      <c r="L24" s="11">
        <v>174</v>
      </c>
      <c r="M24" s="11">
        <v>167</v>
      </c>
      <c r="N24" s="11">
        <v>151</v>
      </c>
      <c r="O24" s="9">
        <v>696</v>
      </c>
      <c r="P24" s="12">
        <v>-0.17032967032967028</v>
      </c>
      <c r="Q24" s="12">
        <v>-2.9288702928870314E-2</v>
      </c>
      <c r="R24" s="13">
        <v>1.8540915217935671E-3</v>
      </c>
    </row>
    <row r="25" spans="1:18" ht="15" customHeight="1" x14ac:dyDescent="0.35">
      <c r="A25" t="s">
        <v>33</v>
      </c>
      <c r="B25" s="9">
        <v>40598</v>
      </c>
      <c r="C25" s="9">
        <v>38141</v>
      </c>
      <c r="D25" s="9">
        <v>37583</v>
      </c>
      <c r="E25" s="9">
        <v>36685</v>
      </c>
      <c r="F25" s="10">
        <v>8803</v>
      </c>
      <c r="G25" s="10">
        <v>8812</v>
      </c>
      <c r="H25" s="10">
        <v>9167</v>
      </c>
      <c r="I25" s="10">
        <v>9672</v>
      </c>
      <c r="J25" s="9">
        <v>36454</v>
      </c>
      <c r="K25" s="11">
        <v>6315</v>
      </c>
      <c r="L25" s="11">
        <v>7597</v>
      </c>
      <c r="M25" s="11">
        <v>7205</v>
      </c>
      <c r="N25" s="11">
        <v>7934</v>
      </c>
      <c r="O25" s="9">
        <v>29051</v>
      </c>
      <c r="P25" s="12">
        <v>-0.17969396195202647</v>
      </c>
      <c r="Q25" s="12">
        <v>-0.20307785153892577</v>
      </c>
      <c r="R25" s="13">
        <v>7.7389673562679479E-2</v>
      </c>
    </row>
    <row r="26" spans="1:18" ht="15" customHeight="1" x14ac:dyDescent="0.35">
      <c r="A26" t="s">
        <v>56</v>
      </c>
      <c r="B26" s="9">
        <v>5335</v>
      </c>
      <c r="C26" s="9">
        <v>4513</v>
      </c>
      <c r="D26" s="9">
        <v>4422</v>
      </c>
      <c r="E26" s="9">
        <v>1154</v>
      </c>
      <c r="F26" s="10">
        <v>46</v>
      </c>
      <c r="G26" s="10">
        <v>37</v>
      </c>
      <c r="H26" s="10">
        <v>20</v>
      </c>
      <c r="I26" s="10">
        <v>536</v>
      </c>
      <c r="J26" s="9">
        <v>639</v>
      </c>
      <c r="K26" s="11">
        <v>590</v>
      </c>
      <c r="L26" s="11">
        <v>403</v>
      </c>
      <c r="M26" s="11">
        <v>442</v>
      </c>
      <c r="N26" s="11">
        <v>669</v>
      </c>
      <c r="O26" s="9">
        <v>2104</v>
      </c>
      <c r="P26" s="12">
        <v>0.24813432835820892</v>
      </c>
      <c r="Q26" s="12">
        <v>2.2926447574334898</v>
      </c>
      <c r="R26" s="13">
        <v>5.6048973589851517E-3</v>
      </c>
    </row>
    <row r="27" spans="1:18" ht="15" customHeight="1" x14ac:dyDescent="0.35">
      <c r="A27" t="s">
        <v>57</v>
      </c>
      <c r="B27" s="9">
        <v>1179</v>
      </c>
      <c r="C27" s="9">
        <v>1139</v>
      </c>
      <c r="D27" s="9">
        <v>962</v>
      </c>
      <c r="E27" s="9">
        <v>958</v>
      </c>
      <c r="F27" s="10">
        <v>192</v>
      </c>
      <c r="G27" s="10">
        <v>270</v>
      </c>
      <c r="H27" s="10">
        <v>185</v>
      </c>
      <c r="I27" s="10">
        <v>300</v>
      </c>
      <c r="J27" s="9">
        <v>947</v>
      </c>
      <c r="K27" s="11">
        <v>194</v>
      </c>
      <c r="L27" s="11">
        <v>212</v>
      </c>
      <c r="M27" s="11">
        <v>181</v>
      </c>
      <c r="N27" s="11">
        <v>241</v>
      </c>
      <c r="O27" s="9">
        <v>828</v>
      </c>
      <c r="P27" s="12">
        <v>-0.19666666666666666</v>
      </c>
      <c r="Q27" s="12">
        <v>-0.12565997888067582</v>
      </c>
      <c r="R27" s="13">
        <v>2.2057295690302782E-3</v>
      </c>
    </row>
    <row r="28" spans="1:18" ht="15" customHeight="1" x14ac:dyDescent="0.35">
      <c r="A28" t="s">
        <v>34</v>
      </c>
      <c r="B28" s="9">
        <v>9873</v>
      </c>
      <c r="C28" s="9">
        <v>8687</v>
      </c>
      <c r="D28" s="9">
        <v>7683</v>
      </c>
      <c r="E28" s="9">
        <v>7309</v>
      </c>
      <c r="F28" s="10">
        <v>1955</v>
      </c>
      <c r="G28" s="10">
        <v>1894</v>
      </c>
      <c r="H28" s="10">
        <v>1893</v>
      </c>
      <c r="I28" s="10">
        <v>2268</v>
      </c>
      <c r="J28" s="9">
        <v>8010</v>
      </c>
      <c r="K28" s="11">
        <v>1784</v>
      </c>
      <c r="L28" s="11">
        <v>1850</v>
      </c>
      <c r="M28" s="11">
        <v>1771</v>
      </c>
      <c r="N28" s="11">
        <v>1865</v>
      </c>
      <c r="O28" s="9">
        <v>7270</v>
      </c>
      <c r="P28" s="12">
        <v>-0.17768959435626097</v>
      </c>
      <c r="Q28" s="12">
        <v>-9.2384519350811489E-2</v>
      </c>
      <c r="R28" s="13">
        <v>1.9366731844021885E-2</v>
      </c>
    </row>
    <row r="29" spans="1:18" ht="15" customHeight="1" x14ac:dyDescent="0.35">
      <c r="A29" t="s">
        <v>35</v>
      </c>
      <c r="B29" s="9">
        <f>SUBTOTAL(109,Tabell_Storb[2020])</f>
        <v>420198</v>
      </c>
      <c r="C29" s="9">
        <f>SUBTOTAL(109,Tabell_Storb[2021])</f>
        <v>399962</v>
      </c>
      <c r="D29" s="9">
        <f>SUBTOTAL(109,Tabell_Storb[2022])</f>
        <v>400216</v>
      </c>
      <c r="E29" s="9">
        <f>SUBTOTAL(109,Tabell_Storb[2023])</f>
        <v>409803</v>
      </c>
      <c r="F29" s="9">
        <f>SUBTOTAL(109,Tabell_Storb[Kvartal 1 2024])</f>
        <v>102801</v>
      </c>
      <c r="G29" s="9">
        <f>SUBTOTAL(109,Tabell_Storb[Kvartal 2 2024])</f>
        <v>95480</v>
      </c>
      <c r="H29" s="9">
        <f>SUBTOTAL(109,Tabell_Storb[Kvartal 3 2024])</f>
        <v>104388</v>
      </c>
      <c r="I29" s="9">
        <f>SUBTOTAL(109,Tabell_Storb[Kvartal 4 2024])</f>
        <v>111590</v>
      </c>
      <c r="J29" s="9">
        <f>SUBTOTAL(109,Tabell_Storb[2024])</f>
        <v>414259</v>
      </c>
      <c r="K29" s="9">
        <f>SUBTOTAL(109,Tabell_Storb[Kvartal 1 2025])</f>
        <v>89076</v>
      </c>
      <c r="L29" s="9">
        <f>SUBTOTAL(109,Tabell_Storb[Kvartal 2 2025])</f>
        <v>86834</v>
      </c>
      <c r="M29" s="9">
        <f>SUBTOTAL(109,Tabell_Storb[Kvartal 3 2025])</f>
        <v>96902</v>
      </c>
      <c r="N29" s="9">
        <f>SUBTOTAL(109,Tabell_Storb[Kvartal 4 2025])</f>
        <v>102574</v>
      </c>
      <c r="O29" s="9">
        <f>SUBTOTAL(109,Tabell_Storb[2025])</f>
        <v>375386</v>
      </c>
      <c r="P29" s="15">
        <f>N29/I29-1</f>
        <v>-8.0795770230307373E-2</v>
      </c>
      <c r="Q29" s="15">
        <f>O29/SUM(F29:I29)-1</f>
        <v>-9.3837430206706429E-2</v>
      </c>
      <c r="R29" s="13">
        <f>SUBTOTAL(109,Tabell_Storb[Procentuell andel 2025*])</f>
        <v>1</v>
      </c>
    </row>
    <row r="30" spans="1:18" ht="15" customHeight="1" x14ac:dyDescent="0.35">
      <c r="A30" t="s">
        <v>58</v>
      </c>
    </row>
    <row r="31" spans="1:18" ht="15" customHeight="1" x14ac:dyDescent="0.35">
      <c r="A31" t="s">
        <v>37</v>
      </c>
    </row>
    <row r="32" spans="1:18" ht="15" customHeight="1" x14ac:dyDescent="0.35">
      <c r="A32" t="s">
        <v>59</v>
      </c>
    </row>
    <row r="33" spans="1:1" ht="15" customHeight="1" x14ac:dyDescent="0.35">
      <c r="A33" t="s">
        <v>39</v>
      </c>
    </row>
    <row r="34" spans="1:1" ht="15" customHeight="1" x14ac:dyDescent="0.35"/>
    <row r="35" spans="1:1" ht="15" customHeight="1" x14ac:dyDescent="0.35"/>
    <row r="36" spans="1:1" ht="15" customHeight="1" x14ac:dyDescent="0.35"/>
    <row r="37" spans="1:1" ht="15" customHeight="1" x14ac:dyDescent="0.35"/>
    <row r="38" spans="1:1" ht="15" customHeight="1" x14ac:dyDescent="0.35"/>
    <row r="39" spans="1:1" ht="15" customHeight="1" x14ac:dyDescent="0.35"/>
    <row r="40" spans="1:1" ht="15" customHeight="1" x14ac:dyDescent="0.35"/>
    <row r="41" spans="1:1" ht="15" customHeight="1" x14ac:dyDescent="0.35"/>
    <row r="42" spans="1:1" ht="15" customHeight="1" x14ac:dyDescent="0.35"/>
    <row r="43" spans="1:1" ht="15" customHeight="1" x14ac:dyDescent="0.35"/>
    <row r="44" spans="1:1" ht="15" customHeight="1" x14ac:dyDescent="0.35"/>
    <row r="45" spans="1:1" ht="15" customHeight="1" x14ac:dyDescent="0.35"/>
    <row r="46" spans="1:1" ht="15" customHeight="1" x14ac:dyDescent="0.35"/>
    <row r="47" spans="1:1" ht="15" customHeight="1" x14ac:dyDescent="0.35"/>
    <row r="48" spans="1:1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DD24-0B61-4459-B17B-11D5285FDBBC}">
  <sheetPr codeName="flKalv">
    <pageSetUpPr fitToPage="1"/>
  </sheetPr>
  <dimension ref="A1:W69"/>
  <sheetViews>
    <sheetView workbookViewId="0">
      <selection activeCell="A2" sqref="A2"/>
    </sheetView>
  </sheetViews>
  <sheetFormatPr defaultColWidth="9.1796875" defaultRowHeight="14.5" x14ac:dyDescent="0.35"/>
  <cols>
    <col min="1" max="1" width="27" customWidth="1"/>
    <col min="2" max="15" width="8.26953125" customWidth="1"/>
    <col min="16" max="16" width="9.26953125" customWidth="1"/>
    <col min="17" max="17" width="10.1796875" customWidth="1"/>
    <col min="18" max="18" width="10" customWidth="1"/>
  </cols>
  <sheetData>
    <row r="1" spans="1:23" ht="92.25" customHeight="1" x14ac:dyDescent="0.35">
      <c r="A1" s="1" t="s">
        <v>60</v>
      </c>
      <c r="C1" s="1"/>
      <c r="J1" s="1"/>
      <c r="R1" s="2"/>
    </row>
    <row r="2" spans="1:23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23" ht="15" customHeight="1" x14ac:dyDescent="0.35">
      <c r="A3" t="s">
        <v>41</v>
      </c>
      <c r="B3" s="9">
        <v>109</v>
      </c>
      <c r="C3" s="9">
        <v>102</v>
      </c>
      <c r="D3" s="9">
        <v>105</v>
      </c>
      <c r="E3" s="9">
        <v>117</v>
      </c>
      <c r="F3" s="10">
        <v>32</v>
      </c>
      <c r="G3" s="10">
        <v>26</v>
      </c>
      <c r="H3" s="10">
        <v>28</v>
      </c>
      <c r="I3" s="10">
        <v>25</v>
      </c>
      <c r="J3" s="9">
        <v>111</v>
      </c>
      <c r="K3" s="11">
        <v>19</v>
      </c>
      <c r="L3" s="11">
        <v>20</v>
      </c>
      <c r="M3" s="11">
        <v>22</v>
      </c>
      <c r="N3" s="11">
        <v>15</v>
      </c>
      <c r="O3" s="9">
        <v>76</v>
      </c>
      <c r="P3" s="15">
        <v>-0.4</v>
      </c>
      <c r="Q3" s="12">
        <v>-0.31531531531531531</v>
      </c>
      <c r="R3" s="13">
        <v>1.0465436518865326E-2</v>
      </c>
      <c r="U3" s="16" t="s">
        <v>61</v>
      </c>
    </row>
    <row r="4" spans="1:23" ht="15" customHeight="1" x14ac:dyDescent="0.35">
      <c r="A4" t="s">
        <v>62</v>
      </c>
      <c r="B4" s="9">
        <v>19</v>
      </c>
      <c r="C4" s="9">
        <v>62</v>
      </c>
      <c r="D4" s="9">
        <v>58</v>
      </c>
      <c r="E4" s="9">
        <v>59</v>
      </c>
      <c r="F4" s="10">
        <v>20</v>
      </c>
      <c r="G4" s="10">
        <v>14</v>
      </c>
      <c r="H4" s="10">
        <v>13</v>
      </c>
      <c r="I4" s="10">
        <v>14</v>
      </c>
      <c r="J4" s="9">
        <v>61</v>
      </c>
      <c r="K4" s="11">
        <v>17</v>
      </c>
      <c r="L4" s="11">
        <v>13</v>
      </c>
      <c r="M4" s="11">
        <v>14</v>
      </c>
      <c r="N4" s="11">
        <v>15</v>
      </c>
      <c r="O4" s="9">
        <v>59</v>
      </c>
      <c r="P4" s="15">
        <v>7.1428571428571397E-2</v>
      </c>
      <c r="Q4" s="12">
        <v>-3.2786885245901676E-2</v>
      </c>
      <c r="R4" s="13">
        <v>8.1244836133296614E-3</v>
      </c>
    </row>
    <row r="5" spans="1:23" ht="15" customHeight="1" x14ac:dyDescent="0.35">
      <c r="A5" t="s">
        <v>43</v>
      </c>
      <c r="B5" s="9">
        <v>82</v>
      </c>
      <c r="C5" s="9">
        <v>100</v>
      </c>
      <c r="D5" s="9">
        <v>130</v>
      </c>
      <c r="E5" s="9">
        <v>135</v>
      </c>
      <c r="F5" s="10">
        <v>32</v>
      </c>
      <c r="G5" s="10">
        <v>31</v>
      </c>
      <c r="H5" s="10">
        <v>20</v>
      </c>
      <c r="I5" s="10">
        <v>36</v>
      </c>
      <c r="J5" s="9">
        <v>119</v>
      </c>
      <c r="K5" s="11">
        <v>33</v>
      </c>
      <c r="L5" s="11">
        <v>50</v>
      </c>
      <c r="M5" s="11">
        <v>38</v>
      </c>
      <c r="N5" s="11">
        <v>42</v>
      </c>
      <c r="O5" s="9">
        <v>163</v>
      </c>
      <c r="P5" s="15">
        <v>0.16666666666666674</v>
      </c>
      <c r="Q5" s="12">
        <v>0.36974789915966388</v>
      </c>
      <c r="R5" s="13">
        <v>2.2445607270724317E-2</v>
      </c>
    </row>
    <row r="6" spans="1:23" ht="15" customHeight="1" x14ac:dyDescent="0.35">
      <c r="A6" t="s">
        <v>22</v>
      </c>
      <c r="B6" s="9">
        <v>280</v>
      </c>
      <c r="C6" s="9">
        <v>245</v>
      </c>
      <c r="D6" s="9">
        <v>230</v>
      </c>
      <c r="E6" s="9">
        <v>209</v>
      </c>
      <c r="F6" s="10">
        <v>56</v>
      </c>
      <c r="G6" s="10">
        <v>58</v>
      </c>
      <c r="H6" s="10">
        <v>93</v>
      </c>
      <c r="I6" s="10">
        <v>112</v>
      </c>
      <c r="J6" s="9">
        <v>319</v>
      </c>
      <c r="K6" s="11">
        <v>57</v>
      </c>
      <c r="L6" s="11">
        <v>39</v>
      </c>
      <c r="M6" s="11">
        <v>30</v>
      </c>
      <c r="N6" s="11">
        <v>57</v>
      </c>
      <c r="O6" s="9">
        <v>183</v>
      </c>
      <c r="P6" s="15">
        <v>-0.4910714285714286</v>
      </c>
      <c r="Q6" s="12">
        <v>-0.42633228840125392</v>
      </c>
      <c r="R6" s="13">
        <v>2.5199669512530984E-2</v>
      </c>
      <c r="W6" s="16" t="s">
        <v>63</v>
      </c>
    </row>
    <row r="7" spans="1:23" ht="15" customHeight="1" x14ac:dyDescent="0.35">
      <c r="A7" t="s">
        <v>44</v>
      </c>
      <c r="B7" s="9">
        <v>294</v>
      </c>
      <c r="C7" s="9">
        <v>319</v>
      </c>
      <c r="D7" s="9">
        <v>328</v>
      </c>
      <c r="E7" s="9">
        <v>401</v>
      </c>
      <c r="F7" s="10">
        <v>114</v>
      </c>
      <c r="G7" s="10">
        <v>57</v>
      </c>
      <c r="H7" s="10">
        <v>66</v>
      </c>
      <c r="I7" s="10">
        <v>139</v>
      </c>
      <c r="J7" s="9">
        <v>376</v>
      </c>
      <c r="K7" s="11">
        <v>125</v>
      </c>
      <c r="L7" s="11">
        <v>146</v>
      </c>
      <c r="M7" s="11">
        <v>137</v>
      </c>
      <c r="N7" s="11">
        <v>110</v>
      </c>
      <c r="O7" s="9">
        <v>518</v>
      </c>
      <c r="P7" s="15">
        <v>-0.20863309352517989</v>
      </c>
      <c r="Q7" s="12">
        <v>0.37765957446808507</v>
      </c>
      <c r="R7" s="13">
        <v>7.1330212062792622E-2</v>
      </c>
    </row>
    <row r="8" spans="1:23" ht="15" customHeight="1" x14ac:dyDescent="0.35">
      <c r="A8" t="s">
        <v>45</v>
      </c>
      <c r="B8" s="9">
        <v>247</v>
      </c>
      <c r="C8" s="9">
        <v>169</v>
      </c>
      <c r="D8" s="9">
        <v>95</v>
      </c>
      <c r="E8" s="9">
        <v>512</v>
      </c>
      <c r="F8" s="10">
        <v>427</v>
      </c>
      <c r="G8" s="10">
        <v>339</v>
      </c>
      <c r="H8" s="10">
        <v>42</v>
      </c>
      <c r="I8" s="10">
        <v>485</v>
      </c>
      <c r="J8" s="9">
        <v>1293</v>
      </c>
      <c r="K8" s="11">
        <v>960</v>
      </c>
      <c r="L8" s="11">
        <v>970</v>
      </c>
      <c r="M8" s="11">
        <v>665</v>
      </c>
      <c r="N8" s="11">
        <v>586</v>
      </c>
      <c r="O8" s="9">
        <v>3181</v>
      </c>
      <c r="P8" s="15">
        <v>0.2082474226804123</v>
      </c>
      <c r="Q8" s="12">
        <v>1.4601701469450887</v>
      </c>
      <c r="R8" s="13">
        <v>0.43803359955935006</v>
      </c>
    </row>
    <row r="9" spans="1:23" ht="15" customHeight="1" x14ac:dyDescent="0.35">
      <c r="A9" t="s">
        <v>46</v>
      </c>
      <c r="B9" s="9">
        <v>598</v>
      </c>
      <c r="C9" s="9">
        <v>559</v>
      </c>
      <c r="D9" s="9">
        <v>638</v>
      </c>
      <c r="E9" s="9">
        <v>610</v>
      </c>
      <c r="F9" s="10">
        <v>197</v>
      </c>
      <c r="G9" s="10">
        <v>205</v>
      </c>
      <c r="H9" s="10">
        <v>154</v>
      </c>
      <c r="I9" s="10">
        <v>148</v>
      </c>
      <c r="J9" s="9">
        <v>704</v>
      </c>
      <c r="K9" s="11">
        <v>207</v>
      </c>
      <c r="L9" s="11">
        <v>180</v>
      </c>
      <c r="M9" s="11">
        <v>162</v>
      </c>
      <c r="N9" s="11">
        <v>163</v>
      </c>
      <c r="O9" s="9">
        <v>712</v>
      </c>
      <c r="P9" s="15">
        <v>0.10135135135135132</v>
      </c>
      <c r="Q9" s="12">
        <v>1.1363636363636465E-2</v>
      </c>
      <c r="R9" s="13">
        <v>9.8044615808317262E-2</v>
      </c>
    </row>
    <row r="10" spans="1:23" ht="15" customHeight="1" x14ac:dyDescent="0.35">
      <c r="A10" t="s">
        <v>23</v>
      </c>
      <c r="B10" s="9">
        <v>34</v>
      </c>
      <c r="C10" s="9">
        <v>28</v>
      </c>
      <c r="D10" s="9">
        <v>31</v>
      </c>
      <c r="E10" s="9">
        <v>15</v>
      </c>
      <c r="F10" s="10">
        <v>11</v>
      </c>
      <c r="G10" s="10">
        <v>11</v>
      </c>
      <c r="H10" s="10">
        <v>5</v>
      </c>
      <c r="I10" s="10">
        <v>17</v>
      </c>
      <c r="J10" s="9">
        <v>44</v>
      </c>
      <c r="K10" s="11">
        <v>8</v>
      </c>
      <c r="L10" s="11">
        <v>6</v>
      </c>
      <c r="M10" s="11">
        <v>6</v>
      </c>
      <c r="N10" s="11">
        <v>18</v>
      </c>
      <c r="O10" s="9">
        <v>38</v>
      </c>
      <c r="P10" s="15">
        <v>5.8823529411764719E-2</v>
      </c>
      <c r="Q10" s="12">
        <v>-0.13636363636363635</v>
      </c>
      <c r="R10" s="13">
        <v>5.2327182594326628E-3</v>
      </c>
    </row>
    <row r="11" spans="1:23" ht="15" customHeight="1" x14ac:dyDescent="0.35">
      <c r="A11" t="s">
        <v>47</v>
      </c>
      <c r="B11" s="9">
        <v>61</v>
      </c>
      <c r="C11" s="9">
        <v>43</v>
      </c>
      <c r="D11" s="9">
        <v>12</v>
      </c>
      <c r="E11" s="9">
        <v>86</v>
      </c>
      <c r="F11" s="10">
        <v>23</v>
      </c>
      <c r="G11" s="10">
        <v>10</v>
      </c>
      <c r="H11" s="10">
        <v>8</v>
      </c>
      <c r="I11" s="10">
        <v>29</v>
      </c>
      <c r="J11" s="9">
        <v>70</v>
      </c>
      <c r="K11" s="11">
        <v>28</v>
      </c>
      <c r="L11" s="11">
        <v>5</v>
      </c>
      <c r="M11" s="11">
        <v>4</v>
      </c>
      <c r="N11" s="11">
        <v>47</v>
      </c>
      <c r="O11" s="9">
        <v>84</v>
      </c>
      <c r="P11" s="15">
        <v>0.6206896551724137</v>
      </c>
      <c r="Q11" s="12">
        <v>0.19999999999999996</v>
      </c>
      <c r="R11" s="13">
        <v>1.1567061415587993E-2</v>
      </c>
    </row>
    <row r="12" spans="1:23" ht="15" customHeight="1" x14ac:dyDescent="0.35">
      <c r="A12" t="s">
        <v>24</v>
      </c>
      <c r="B12" s="9">
        <v>844</v>
      </c>
      <c r="C12" s="9">
        <v>110</v>
      </c>
      <c r="D12" s="9">
        <v>103</v>
      </c>
      <c r="E12" s="9">
        <v>80</v>
      </c>
      <c r="F12" s="10">
        <v>4</v>
      </c>
      <c r="G12" s="10">
        <v>12</v>
      </c>
      <c r="H12" s="10">
        <v>11</v>
      </c>
      <c r="I12" s="10">
        <v>32</v>
      </c>
      <c r="J12" s="9">
        <v>59</v>
      </c>
      <c r="K12" s="11">
        <v>13</v>
      </c>
      <c r="L12" s="11">
        <v>26</v>
      </c>
      <c r="M12" s="11">
        <v>25</v>
      </c>
      <c r="N12" s="11">
        <v>25</v>
      </c>
      <c r="O12" s="9">
        <v>89</v>
      </c>
      <c r="P12" s="15">
        <v>-0.21875</v>
      </c>
      <c r="Q12" s="12">
        <v>0.50847457627118642</v>
      </c>
      <c r="R12" s="13">
        <v>1.2255576976039658E-2</v>
      </c>
    </row>
    <row r="13" spans="1:23" ht="15" customHeight="1" x14ac:dyDescent="0.35">
      <c r="A13" t="s">
        <v>48</v>
      </c>
      <c r="B13" s="9">
        <v>1481</v>
      </c>
      <c r="C13" s="9">
        <v>241</v>
      </c>
      <c r="D13" s="9">
        <v>386</v>
      </c>
      <c r="E13" s="9">
        <v>1182</v>
      </c>
      <c r="F13" s="10">
        <v>355</v>
      </c>
      <c r="G13" s="10">
        <v>325</v>
      </c>
      <c r="H13" s="10">
        <v>202</v>
      </c>
      <c r="I13" s="10">
        <v>87</v>
      </c>
      <c r="J13" s="9">
        <v>969</v>
      </c>
      <c r="K13" s="11">
        <v>93</v>
      </c>
      <c r="L13" s="11">
        <v>58</v>
      </c>
      <c r="M13" s="11">
        <v>5</v>
      </c>
      <c r="N13" s="11">
        <v>8</v>
      </c>
      <c r="O13" s="9">
        <v>164</v>
      </c>
      <c r="P13" s="15">
        <v>-0.90804597701149425</v>
      </c>
      <c r="Q13" s="12">
        <v>-0.83075335397316818</v>
      </c>
      <c r="R13" s="13">
        <v>2.258331038281465E-2</v>
      </c>
    </row>
    <row r="14" spans="1:23" ht="15" customHeight="1" x14ac:dyDescent="0.35">
      <c r="A14" t="s">
        <v>28</v>
      </c>
      <c r="B14" s="9">
        <v>184</v>
      </c>
      <c r="C14" s="9">
        <v>111</v>
      </c>
      <c r="D14" s="9">
        <v>235</v>
      </c>
      <c r="E14" s="9">
        <v>208</v>
      </c>
      <c r="F14" s="10">
        <v>45</v>
      </c>
      <c r="G14" s="10">
        <v>1</v>
      </c>
      <c r="H14" s="10">
        <v>1</v>
      </c>
      <c r="I14" s="10">
        <v>4</v>
      </c>
      <c r="J14" s="9">
        <v>51</v>
      </c>
      <c r="K14" s="11"/>
      <c r="L14" s="11"/>
      <c r="M14" s="11">
        <v>4</v>
      </c>
      <c r="N14" s="11">
        <v>19</v>
      </c>
      <c r="O14" s="9">
        <v>23</v>
      </c>
      <c r="P14" s="15">
        <v>3.75</v>
      </c>
      <c r="Q14" s="12">
        <v>-0.5490196078431373</v>
      </c>
      <c r="R14" s="13">
        <v>3.1671715780776646E-3</v>
      </c>
    </row>
    <row r="15" spans="1:23" ht="15" customHeight="1" x14ac:dyDescent="0.35">
      <c r="A15" t="s">
        <v>50</v>
      </c>
      <c r="B15" s="9">
        <v>64</v>
      </c>
      <c r="C15" s="9">
        <v>73</v>
      </c>
      <c r="D15" s="9">
        <v>72</v>
      </c>
      <c r="E15" s="9">
        <v>111</v>
      </c>
      <c r="F15" s="10">
        <v>60</v>
      </c>
      <c r="G15" s="10">
        <v>27</v>
      </c>
      <c r="H15" s="10">
        <v>11</v>
      </c>
      <c r="I15" s="10">
        <v>19</v>
      </c>
      <c r="J15" s="9">
        <v>117</v>
      </c>
      <c r="K15" s="11">
        <v>6</v>
      </c>
      <c r="L15" s="11">
        <v>10</v>
      </c>
      <c r="M15" s="11">
        <v>14</v>
      </c>
      <c r="N15" s="11">
        <v>15</v>
      </c>
      <c r="O15" s="9">
        <v>45</v>
      </c>
      <c r="P15" s="15">
        <v>-0.21052631578947367</v>
      </c>
      <c r="Q15" s="12">
        <v>-0.61538461538461542</v>
      </c>
      <c r="R15" s="13">
        <v>6.1966400440649962E-3</v>
      </c>
    </row>
    <row r="16" spans="1:23" ht="15" customHeight="1" x14ac:dyDescent="0.35">
      <c r="A16" t="s">
        <v>51</v>
      </c>
      <c r="B16" s="9">
        <v>92</v>
      </c>
      <c r="C16" s="9">
        <v>74</v>
      </c>
      <c r="D16" s="9">
        <v>163</v>
      </c>
      <c r="E16" s="9">
        <v>246</v>
      </c>
      <c r="F16" s="10">
        <v>56</v>
      </c>
      <c r="G16" s="10">
        <v>42</v>
      </c>
      <c r="H16" s="10">
        <v>9</v>
      </c>
      <c r="I16" s="10">
        <v>31</v>
      </c>
      <c r="J16" s="9">
        <v>138</v>
      </c>
      <c r="K16" s="11">
        <v>21</v>
      </c>
      <c r="L16" s="11">
        <v>12</v>
      </c>
      <c r="M16" s="11">
        <v>2</v>
      </c>
      <c r="N16" s="11">
        <v>6</v>
      </c>
      <c r="O16" s="9">
        <v>41</v>
      </c>
      <c r="P16" s="15">
        <v>-0.80645161290322576</v>
      </c>
      <c r="Q16" s="12">
        <v>-0.70289855072463769</v>
      </c>
      <c r="R16" s="13">
        <v>5.6458275957036626E-3</v>
      </c>
    </row>
    <row r="17" spans="1:18" ht="15" customHeight="1" x14ac:dyDescent="0.35">
      <c r="A17" t="s">
        <v>52</v>
      </c>
      <c r="B17" s="9">
        <v>580</v>
      </c>
      <c r="C17" s="9">
        <v>589</v>
      </c>
      <c r="D17" s="9">
        <v>509</v>
      </c>
      <c r="E17" s="9">
        <v>593</v>
      </c>
      <c r="F17" s="10">
        <v>184</v>
      </c>
      <c r="G17" s="10">
        <v>112</v>
      </c>
      <c r="H17" s="10">
        <v>83</v>
      </c>
      <c r="I17" s="10">
        <v>204</v>
      </c>
      <c r="J17" s="9">
        <v>583</v>
      </c>
      <c r="K17" s="11">
        <v>150</v>
      </c>
      <c r="L17" s="11">
        <v>106</v>
      </c>
      <c r="M17" s="11">
        <v>82</v>
      </c>
      <c r="N17" s="11">
        <v>164</v>
      </c>
      <c r="O17" s="9">
        <v>502</v>
      </c>
      <c r="P17" s="15">
        <v>-0.19607843137254899</v>
      </c>
      <c r="Q17" s="12">
        <v>-0.13893653516295024</v>
      </c>
      <c r="R17" s="13">
        <v>6.9126962269347281E-2</v>
      </c>
    </row>
    <row r="18" spans="1:18" ht="15" customHeight="1" x14ac:dyDescent="0.35">
      <c r="A18" t="s">
        <v>30</v>
      </c>
      <c r="B18" s="9">
        <v>48</v>
      </c>
      <c r="C18" s="9">
        <v>32</v>
      </c>
      <c r="D18" s="9">
        <v>23</v>
      </c>
      <c r="E18" s="9">
        <v>38</v>
      </c>
      <c r="F18" s="10">
        <v>8</v>
      </c>
      <c r="G18" s="10">
        <v>8</v>
      </c>
      <c r="H18" s="10">
        <v>3</v>
      </c>
      <c r="I18" s="10">
        <v>5</v>
      </c>
      <c r="J18" s="9">
        <v>24</v>
      </c>
      <c r="K18" s="11">
        <v>2</v>
      </c>
      <c r="L18" s="11">
        <v>14</v>
      </c>
      <c r="M18" s="11">
        <v>8</v>
      </c>
      <c r="N18" s="11">
        <v>14</v>
      </c>
      <c r="O18" s="9">
        <v>38</v>
      </c>
      <c r="P18" s="15">
        <v>1.7999999999999998</v>
      </c>
      <c r="Q18" s="12">
        <v>0.58333333333333326</v>
      </c>
      <c r="R18" s="13">
        <v>5.2327182594326628E-3</v>
      </c>
    </row>
    <row r="19" spans="1:18" ht="15" customHeight="1" x14ac:dyDescent="0.35">
      <c r="A19" t="s">
        <v>31</v>
      </c>
      <c r="B19" s="9">
        <v>43</v>
      </c>
      <c r="C19" s="9">
        <v>17</v>
      </c>
      <c r="D19" s="9">
        <v>42</v>
      </c>
      <c r="E19" s="9">
        <v>90</v>
      </c>
      <c r="F19" s="10">
        <v>24</v>
      </c>
      <c r="G19" s="10">
        <v>11</v>
      </c>
      <c r="H19" s="10">
        <v>12</v>
      </c>
      <c r="I19" s="10">
        <v>24</v>
      </c>
      <c r="J19" s="9">
        <v>71</v>
      </c>
      <c r="K19" s="11">
        <v>10</v>
      </c>
      <c r="L19" s="11">
        <v>8</v>
      </c>
      <c r="M19" s="11">
        <v>7</v>
      </c>
      <c r="N19" s="11">
        <v>7</v>
      </c>
      <c r="O19" s="9">
        <v>32</v>
      </c>
      <c r="P19" s="15">
        <v>-0.70833333333333326</v>
      </c>
      <c r="Q19" s="12">
        <v>-0.54929577464788726</v>
      </c>
      <c r="R19" s="13">
        <v>4.406499586890664E-3</v>
      </c>
    </row>
    <row r="20" spans="1:18" ht="15" customHeight="1" x14ac:dyDescent="0.35">
      <c r="A20" t="s">
        <v>54</v>
      </c>
      <c r="B20" s="9">
        <v>5351</v>
      </c>
      <c r="C20" s="9">
        <v>5830</v>
      </c>
      <c r="D20" s="9">
        <v>6103</v>
      </c>
      <c r="E20" s="9">
        <v>5472</v>
      </c>
      <c r="F20" s="10">
        <v>985</v>
      </c>
      <c r="G20" s="10">
        <v>1062</v>
      </c>
      <c r="H20" s="10">
        <v>1351</v>
      </c>
      <c r="I20" s="10">
        <v>503</v>
      </c>
      <c r="J20" s="9">
        <v>3901</v>
      </c>
      <c r="K20" s="11">
        <v>2</v>
      </c>
      <c r="L20" s="11">
        <v>10</v>
      </c>
      <c r="M20" s="11">
        <v>1</v>
      </c>
      <c r="N20" s="11">
        <v>24</v>
      </c>
      <c r="O20" s="9">
        <v>37</v>
      </c>
      <c r="P20" s="15">
        <v>-0.95228628230616308</v>
      </c>
      <c r="Q20" s="12">
        <v>-0.99051525249935912</v>
      </c>
      <c r="R20" s="13">
        <v>5.0950151473423298E-3</v>
      </c>
    </row>
    <row r="21" spans="1:18" ht="15" customHeight="1" x14ac:dyDescent="0.35">
      <c r="A21" t="s">
        <v>33</v>
      </c>
      <c r="B21" s="9">
        <v>1806</v>
      </c>
      <c r="C21" s="9">
        <v>1877</v>
      </c>
      <c r="D21" s="9">
        <v>1312</v>
      </c>
      <c r="E21" s="9">
        <v>101</v>
      </c>
      <c r="F21" s="10">
        <v>9</v>
      </c>
      <c r="G21" s="10">
        <v>21</v>
      </c>
      <c r="H21" s="10">
        <v>58</v>
      </c>
      <c r="I21" s="10">
        <v>214</v>
      </c>
      <c r="J21" s="9">
        <v>302</v>
      </c>
      <c r="K21" s="11">
        <v>193</v>
      </c>
      <c r="L21" s="11">
        <v>201</v>
      </c>
      <c r="M21" s="11">
        <v>190</v>
      </c>
      <c r="N21" s="11">
        <v>162</v>
      </c>
      <c r="O21" s="9">
        <v>746</v>
      </c>
      <c r="P21" s="15">
        <v>-0.2429906542056075</v>
      </c>
      <c r="Q21" s="12">
        <v>1.4701986754966887</v>
      </c>
      <c r="R21" s="13">
        <v>0.1027265216193886</v>
      </c>
    </row>
    <row r="22" spans="1:18" ht="15" customHeight="1" x14ac:dyDescent="0.35">
      <c r="A22" t="s">
        <v>57</v>
      </c>
      <c r="B22" s="9">
        <v>98</v>
      </c>
      <c r="C22" s="9">
        <v>92</v>
      </c>
      <c r="D22" s="9">
        <v>102</v>
      </c>
      <c r="E22" s="9">
        <v>69</v>
      </c>
      <c r="F22" s="10">
        <v>19</v>
      </c>
      <c r="G22" s="10">
        <v>6</v>
      </c>
      <c r="H22" s="10">
        <v>14</v>
      </c>
      <c r="I22" s="10">
        <v>58</v>
      </c>
      <c r="J22" s="9">
        <v>97</v>
      </c>
      <c r="K22" s="11">
        <v>15</v>
      </c>
      <c r="L22" s="11">
        <v>6</v>
      </c>
      <c r="M22" s="11">
        <v>8</v>
      </c>
      <c r="N22" s="11">
        <v>68</v>
      </c>
      <c r="O22" s="9">
        <v>97</v>
      </c>
      <c r="P22" s="15">
        <v>0.17241379310344818</v>
      </c>
      <c r="Q22" s="12">
        <v>0</v>
      </c>
      <c r="R22" s="13">
        <v>1.3357201872762325E-2</v>
      </c>
    </row>
    <row r="23" spans="1:18" ht="15" customHeight="1" x14ac:dyDescent="0.35">
      <c r="A23" t="s">
        <v>34</v>
      </c>
      <c r="B23" s="9">
        <v>1153</v>
      </c>
      <c r="C23" s="9">
        <v>826</v>
      </c>
      <c r="D23" s="9">
        <v>797</v>
      </c>
      <c r="E23" s="9">
        <v>643</v>
      </c>
      <c r="F23" s="10">
        <v>163</v>
      </c>
      <c r="G23" s="10">
        <v>101</v>
      </c>
      <c r="H23" s="10">
        <v>110</v>
      </c>
      <c r="I23" s="10">
        <v>173</v>
      </c>
      <c r="J23" s="9">
        <v>547</v>
      </c>
      <c r="K23" s="11">
        <v>131</v>
      </c>
      <c r="L23" s="11">
        <v>83</v>
      </c>
      <c r="M23" s="11">
        <v>90</v>
      </c>
      <c r="N23" s="11">
        <v>130</v>
      </c>
      <c r="O23" s="9">
        <v>434</v>
      </c>
      <c r="P23" s="15">
        <v>-0.24855491329479773</v>
      </c>
      <c r="Q23" s="12">
        <v>-0.20658135283363799</v>
      </c>
      <c r="R23" s="13">
        <v>5.9763150647204624E-2</v>
      </c>
    </row>
    <row r="24" spans="1:18" ht="15" customHeight="1" x14ac:dyDescent="0.35">
      <c r="A24" t="s">
        <v>35</v>
      </c>
      <c r="B24" s="9">
        <f>SUBTOTAL(109,Tabell_Kalv[2020])</f>
        <v>13468</v>
      </c>
      <c r="C24" s="9">
        <f>SUBTOTAL(109,Tabell_Kalv[2021])</f>
        <v>11499</v>
      </c>
      <c r="D24" s="9">
        <f>SUBTOTAL(109,Tabell_Kalv[2022])</f>
        <v>11474</v>
      </c>
      <c r="E24" s="9">
        <f>SUBTOTAL(109,Tabell_Kalv[2023])</f>
        <v>10977</v>
      </c>
      <c r="F24" s="9">
        <f>SUBTOTAL(109,Tabell_Kalv[Kvartal 1 2024])</f>
        <v>2824</v>
      </c>
      <c r="G24" s="9">
        <f>SUBTOTAL(109,Tabell_Kalv[Kvartal 2 2024])</f>
        <v>2479</v>
      </c>
      <c r="H24" s="9">
        <f>SUBTOTAL(109,Tabell_Kalv[Kvartal 3 2024])</f>
        <v>2294</v>
      </c>
      <c r="I24" s="9">
        <f>SUBTOTAL(109,Tabell_Kalv[Kvartal 4 2024])</f>
        <v>2359</v>
      </c>
      <c r="J24" s="9">
        <f>SUBTOTAL(109,Tabell_Kalv[2024])</f>
        <v>9956</v>
      </c>
      <c r="K24" s="9">
        <f>SUBTOTAL(109,Tabell_Kalv[Kvartal 1 2025])</f>
        <v>2090</v>
      </c>
      <c r="L24" s="9">
        <f>SUBTOTAL(109,Tabell_Kalv[Kvartal 2 2025])</f>
        <v>1963</v>
      </c>
      <c r="M24" s="9">
        <f>SUBTOTAL(109,Tabell_Kalv[Kvartal 3 2025])</f>
        <v>1514</v>
      </c>
      <c r="N24" s="9">
        <f>SUBTOTAL(109,Tabell_Kalv[Kvartal 4 2025])</f>
        <v>1695</v>
      </c>
      <c r="O24" s="9">
        <f>SUBTOTAL(109,Tabell_Kalv[2025])</f>
        <v>7262</v>
      </c>
      <c r="P24" s="15">
        <f>N24/I24-1</f>
        <v>-0.28147520135650694</v>
      </c>
      <c r="Q24" s="15">
        <f>O24/SUM(F24:I24)-1</f>
        <v>-0.2705905986339896</v>
      </c>
      <c r="R24" s="13">
        <f>SUBTOTAL(109,Tabell_Kalv[Procentuell andel 2025*])</f>
        <v>0.99999999999999989</v>
      </c>
    </row>
    <row r="25" spans="1:18" ht="15" customHeight="1" x14ac:dyDescent="0.35">
      <c r="A25" t="s">
        <v>64</v>
      </c>
    </row>
    <row r="26" spans="1:18" ht="15" customHeight="1" x14ac:dyDescent="0.35">
      <c r="A26" t="s">
        <v>37</v>
      </c>
    </row>
    <row r="27" spans="1:18" ht="15" customHeight="1" x14ac:dyDescent="0.35">
      <c r="A27" t="s">
        <v>65</v>
      </c>
    </row>
    <row r="28" spans="1:18" ht="15" customHeight="1" x14ac:dyDescent="0.35">
      <c r="A28" t="s">
        <v>39</v>
      </c>
    </row>
    <row r="29" spans="1:18" ht="15" customHeight="1" x14ac:dyDescent="0.35"/>
    <row r="30" spans="1:18" ht="15" customHeight="1" x14ac:dyDescent="0.35"/>
    <row r="31" spans="1:18" ht="15" customHeight="1" x14ac:dyDescent="0.35"/>
    <row r="32" spans="1:18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</sheetData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48F9-FA7A-4991-8ED9-A8BD38CC1EFC}">
  <sheetPr codeName="flFår">
    <pageSetUpPr fitToPage="1"/>
  </sheetPr>
  <dimension ref="A1:R92"/>
  <sheetViews>
    <sheetView workbookViewId="0">
      <selection activeCell="A2" sqref="A2"/>
    </sheetView>
  </sheetViews>
  <sheetFormatPr defaultColWidth="9.1796875" defaultRowHeight="12" x14ac:dyDescent="0.3"/>
  <cols>
    <col min="1" max="1" width="27" style="17" customWidth="1"/>
    <col min="2" max="15" width="8.26953125" style="17" customWidth="1"/>
    <col min="16" max="16" width="9.26953125" style="17" customWidth="1"/>
    <col min="17" max="17" width="10.1796875" style="17" customWidth="1"/>
    <col min="18" max="18" width="10" style="17" customWidth="1"/>
    <col min="19" max="16384" width="9.1796875" style="17"/>
  </cols>
  <sheetData>
    <row r="1" spans="1:18" ht="92.25" customHeight="1" x14ac:dyDescent="0.35">
      <c r="A1" s="1" t="s">
        <v>66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67</v>
      </c>
      <c r="B3" s="9">
        <v>2770</v>
      </c>
      <c r="C3" s="9">
        <v>3087</v>
      </c>
      <c r="D3" s="9">
        <v>2875</v>
      </c>
      <c r="E3" s="9">
        <v>1509</v>
      </c>
      <c r="F3" s="10">
        <v>249</v>
      </c>
      <c r="G3" s="10">
        <v>356</v>
      </c>
      <c r="H3" s="10">
        <v>462</v>
      </c>
      <c r="I3" s="10">
        <v>353</v>
      </c>
      <c r="J3" s="9">
        <v>1420</v>
      </c>
      <c r="K3" s="11">
        <v>242</v>
      </c>
      <c r="L3" s="11">
        <v>528</v>
      </c>
      <c r="M3" s="11">
        <v>383</v>
      </c>
      <c r="N3" s="11">
        <v>371</v>
      </c>
      <c r="O3" s="9">
        <v>1524</v>
      </c>
      <c r="P3" s="12">
        <v>5.0991501416430607E-2</v>
      </c>
      <c r="Q3" s="12">
        <v>7.3239436619718212E-2</v>
      </c>
      <c r="R3" s="13">
        <v>8.2159877514933252E-3</v>
      </c>
    </row>
    <row r="4" spans="1:18" ht="15" customHeight="1" x14ac:dyDescent="0.35">
      <c r="A4" t="s">
        <v>62</v>
      </c>
      <c r="B4" s="9">
        <v>2098</v>
      </c>
      <c r="C4" s="9">
        <v>1923</v>
      </c>
      <c r="D4" s="9">
        <v>1715</v>
      </c>
      <c r="E4" s="9">
        <v>1854</v>
      </c>
      <c r="F4" s="10">
        <v>358</v>
      </c>
      <c r="G4" s="10">
        <v>186</v>
      </c>
      <c r="H4" s="10">
        <v>349</v>
      </c>
      <c r="I4" s="10">
        <v>588</v>
      </c>
      <c r="J4" s="9">
        <v>1481</v>
      </c>
      <c r="K4" s="11">
        <v>264</v>
      </c>
      <c r="L4" s="11">
        <v>163</v>
      </c>
      <c r="M4" s="11">
        <v>397</v>
      </c>
      <c r="N4" s="11">
        <v>558</v>
      </c>
      <c r="O4" s="9">
        <v>1382</v>
      </c>
      <c r="P4" s="12">
        <v>-5.1020408163265252E-2</v>
      </c>
      <c r="Q4" s="12">
        <v>-6.6846725185685352E-2</v>
      </c>
      <c r="R4" s="13">
        <v>7.4504560843594329E-3</v>
      </c>
    </row>
    <row r="5" spans="1:18" ht="15" customHeight="1" x14ac:dyDescent="0.35">
      <c r="A5" t="s">
        <v>43</v>
      </c>
      <c r="B5" s="9">
        <v>990</v>
      </c>
      <c r="C5" s="9">
        <v>1234</v>
      </c>
      <c r="D5" s="9">
        <v>1885</v>
      </c>
      <c r="E5" s="9">
        <v>2298</v>
      </c>
      <c r="F5" s="10">
        <v>287</v>
      </c>
      <c r="G5" s="10">
        <v>117</v>
      </c>
      <c r="H5" s="10">
        <v>368</v>
      </c>
      <c r="I5" s="10">
        <v>906</v>
      </c>
      <c r="J5" s="9">
        <v>1678</v>
      </c>
      <c r="K5" s="11">
        <v>153</v>
      </c>
      <c r="L5" s="11">
        <v>114</v>
      </c>
      <c r="M5" s="11">
        <v>373</v>
      </c>
      <c r="N5" s="11">
        <v>812</v>
      </c>
      <c r="O5" s="9">
        <v>1452</v>
      </c>
      <c r="P5" s="12">
        <v>-0.10375275938189843</v>
      </c>
      <c r="Q5" s="12">
        <v>-0.13468414779499405</v>
      </c>
      <c r="R5" s="13">
        <v>7.8278308498479724E-3</v>
      </c>
    </row>
    <row r="6" spans="1:18" ht="15" customHeight="1" x14ac:dyDescent="0.35">
      <c r="A6" t="s">
        <v>44</v>
      </c>
      <c r="B6" s="9">
        <v>2152</v>
      </c>
      <c r="C6" s="9">
        <v>4381</v>
      </c>
      <c r="D6" s="9">
        <v>5280</v>
      </c>
      <c r="E6" s="9">
        <v>5505</v>
      </c>
      <c r="F6" s="10">
        <v>1036</v>
      </c>
      <c r="G6" s="10">
        <v>856</v>
      </c>
      <c r="H6" s="10">
        <v>1412</v>
      </c>
      <c r="I6" s="10">
        <v>1986</v>
      </c>
      <c r="J6" s="9">
        <v>5290</v>
      </c>
      <c r="K6" s="11">
        <v>628</v>
      </c>
      <c r="L6" s="11">
        <v>733</v>
      </c>
      <c r="M6" s="11">
        <v>937</v>
      </c>
      <c r="N6" s="11">
        <v>1356</v>
      </c>
      <c r="O6" s="9">
        <v>3654</v>
      </c>
      <c r="P6" s="12">
        <v>-0.31722054380664655</v>
      </c>
      <c r="Q6" s="12">
        <v>-0.30926275992438568</v>
      </c>
      <c r="R6" s="13">
        <v>1.9698962758501713E-2</v>
      </c>
    </row>
    <row r="7" spans="1:18" ht="15" customHeight="1" x14ac:dyDescent="0.35">
      <c r="A7" t="s">
        <v>46</v>
      </c>
      <c r="B7" s="9">
        <v>1125</v>
      </c>
      <c r="C7" s="9">
        <v>1135</v>
      </c>
      <c r="D7" s="9">
        <v>1107</v>
      </c>
      <c r="E7" s="9">
        <v>1035</v>
      </c>
      <c r="F7" s="10">
        <v>170</v>
      </c>
      <c r="G7" s="10">
        <v>225</v>
      </c>
      <c r="H7" s="10">
        <v>199</v>
      </c>
      <c r="I7" s="10">
        <v>266</v>
      </c>
      <c r="J7" s="9">
        <v>860</v>
      </c>
      <c r="K7" s="11">
        <v>203</v>
      </c>
      <c r="L7" s="11">
        <v>170</v>
      </c>
      <c r="M7" s="11">
        <v>323</v>
      </c>
      <c r="N7" s="11">
        <v>166</v>
      </c>
      <c r="O7" s="9">
        <v>862</v>
      </c>
      <c r="P7" s="12">
        <v>-0.37593984962406013</v>
      </c>
      <c r="Q7" s="12">
        <v>2.3255813953488857E-3</v>
      </c>
      <c r="R7" s="13">
        <v>4.6471006835874327E-3</v>
      </c>
    </row>
    <row r="8" spans="1:18" ht="15" customHeight="1" x14ac:dyDescent="0.35">
      <c r="A8" t="s">
        <v>23</v>
      </c>
      <c r="B8" s="9">
        <v>2207</v>
      </c>
      <c r="C8" s="9">
        <v>1017</v>
      </c>
      <c r="D8" s="9">
        <v>1546</v>
      </c>
      <c r="E8" s="9">
        <v>2022</v>
      </c>
      <c r="F8" s="10">
        <v>287</v>
      </c>
      <c r="G8" s="10">
        <v>280</v>
      </c>
      <c r="H8" s="10">
        <v>603</v>
      </c>
      <c r="I8" s="10">
        <v>1045</v>
      </c>
      <c r="J8" s="9">
        <v>2215</v>
      </c>
      <c r="K8" s="11">
        <v>290</v>
      </c>
      <c r="L8" s="11">
        <v>595</v>
      </c>
      <c r="M8" s="11">
        <v>803</v>
      </c>
      <c r="N8" s="11">
        <v>771</v>
      </c>
      <c r="O8" s="9">
        <v>2459</v>
      </c>
      <c r="P8" s="12">
        <v>-0.26220095693779899</v>
      </c>
      <c r="Q8" s="12">
        <v>0.11015801354401811</v>
      </c>
      <c r="R8" s="13">
        <v>1.325663640480452E-2</v>
      </c>
    </row>
    <row r="9" spans="1:18" ht="15" customHeight="1" x14ac:dyDescent="0.35">
      <c r="A9" t="s">
        <v>47</v>
      </c>
      <c r="B9" s="9">
        <v>1507</v>
      </c>
      <c r="C9" s="9">
        <v>1716</v>
      </c>
      <c r="D9" s="9">
        <v>1512</v>
      </c>
      <c r="E9" s="9">
        <v>1534</v>
      </c>
      <c r="F9" s="10">
        <v>330</v>
      </c>
      <c r="G9" s="10">
        <v>244</v>
      </c>
      <c r="H9" s="10">
        <v>553</v>
      </c>
      <c r="I9" s="10">
        <v>801</v>
      </c>
      <c r="J9" s="9">
        <v>1928</v>
      </c>
      <c r="K9" s="11">
        <v>261</v>
      </c>
      <c r="L9" s="11">
        <v>216</v>
      </c>
      <c r="M9" s="11">
        <v>442</v>
      </c>
      <c r="N9" s="11">
        <v>722</v>
      </c>
      <c r="O9" s="9">
        <v>1641</v>
      </c>
      <c r="P9" s="12">
        <v>-9.8626716604244713E-2</v>
      </c>
      <c r="Q9" s="12">
        <v>-0.14885892116182575</v>
      </c>
      <c r="R9" s="13">
        <v>8.8467427166670255E-3</v>
      </c>
    </row>
    <row r="10" spans="1:18" ht="15" customHeight="1" x14ac:dyDescent="0.35">
      <c r="A10" t="s">
        <v>25</v>
      </c>
      <c r="B10" s="9">
        <v>20680</v>
      </c>
      <c r="C10" s="9">
        <v>21982</v>
      </c>
      <c r="D10" s="9">
        <v>33808</v>
      </c>
      <c r="E10" s="9">
        <v>27525</v>
      </c>
      <c r="F10" s="10">
        <v>3928</v>
      </c>
      <c r="G10" s="10">
        <v>5289</v>
      </c>
      <c r="H10" s="10">
        <v>6464</v>
      </c>
      <c r="I10" s="10">
        <v>7384</v>
      </c>
      <c r="J10" s="9">
        <v>23065</v>
      </c>
      <c r="K10" s="11">
        <v>3585</v>
      </c>
      <c r="L10" s="11">
        <v>6872</v>
      </c>
      <c r="M10" s="11">
        <v>6295</v>
      </c>
      <c r="N10" s="11">
        <v>8114</v>
      </c>
      <c r="O10" s="9">
        <v>24866</v>
      </c>
      <c r="P10" s="12">
        <v>9.8862405200433434E-2</v>
      </c>
      <c r="Q10" s="12">
        <v>7.8083676566225835E-2</v>
      </c>
      <c r="R10" s="13">
        <v>0.13405429883768571</v>
      </c>
    </row>
    <row r="11" spans="1:18" ht="15" customHeight="1" x14ac:dyDescent="0.35">
      <c r="A11" t="s">
        <v>48</v>
      </c>
      <c r="B11" s="9">
        <v>11043</v>
      </c>
      <c r="C11" s="9">
        <v>11988</v>
      </c>
      <c r="D11" s="9">
        <v>4730</v>
      </c>
      <c r="E11" s="9">
        <v>14928</v>
      </c>
      <c r="F11" s="10">
        <v>2851</v>
      </c>
      <c r="G11" s="10">
        <v>4148</v>
      </c>
      <c r="H11" s="10">
        <v>5025</v>
      </c>
      <c r="I11" s="10">
        <v>4510</v>
      </c>
      <c r="J11" s="9">
        <v>16534</v>
      </c>
      <c r="K11" s="11">
        <v>2785</v>
      </c>
      <c r="L11" s="11">
        <v>4795</v>
      </c>
      <c r="M11" s="11">
        <v>4756</v>
      </c>
      <c r="N11" s="11">
        <v>5123</v>
      </c>
      <c r="O11" s="9">
        <v>17459</v>
      </c>
      <c r="P11" s="12">
        <v>0.13592017738359208</v>
      </c>
      <c r="Q11" s="12">
        <v>5.5945324785291017E-2</v>
      </c>
      <c r="R11" s="13">
        <v>9.4122657580919936E-2</v>
      </c>
    </row>
    <row r="12" spans="1:18" ht="15" customHeight="1" x14ac:dyDescent="0.35">
      <c r="A12" t="s">
        <v>68</v>
      </c>
      <c r="B12" s="9">
        <v>5312</v>
      </c>
      <c r="C12" s="9">
        <v>5662</v>
      </c>
      <c r="D12" s="9">
        <v>6303</v>
      </c>
      <c r="E12" s="9">
        <v>6801</v>
      </c>
      <c r="F12" s="10">
        <v>744</v>
      </c>
      <c r="G12" s="10">
        <v>562</v>
      </c>
      <c r="H12" s="10">
        <v>1326</v>
      </c>
      <c r="I12" s="10">
        <v>3248</v>
      </c>
      <c r="J12" s="9">
        <v>5880</v>
      </c>
      <c r="K12" s="11">
        <v>466</v>
      </c>
      <c r="L12" s="11">
        <v>796</v>
      </c>
      <c r="M12" s="11">
        <v>1463</v>
      </c>
      <c r="N12" s="11">
        <v>2654</v>
      </c>
      <c r="O12" s="9">
        <v>5379</v>
      </c>
      <c r="P12" s="12">
        <v>-0.18288177339901479</v>
      </c>
      <c r="Q12" s="12">
        <v>-8.5204081632653028E-2</v>
      </c>
      <c r="R12" s="13">
        <v>2.8998555193754987E-2</v>
      </c>
    </row>
    <row r="13" spans="1:18" ht="15" customHeight="1" x14ac:dyDescent="0.35">
      <c r="A13" t="s">
        <v>69</v>
      </c>
      <c r="B13" s="9">
        <v>3842</v>
      </c>
      <c r="C13" s="9">
        <v>3621</v>
      </c>
      <c r="D13" s="9">
        <v>3650</v>
      </c>
      <c r="E13" s="9">
        <v>3339</v>
      </c>
      <c r="F13" s="10">
        <v>205</v>
      </c>
      <c r="G13" s="10">
        <v>280</v>
      </c>
      <c r="H13" s="10">
        <v>794</v>
      </c>
      <c r="I13" s="10">
        <v>1465</v>
      </c>
      <c r="J13" s="9">
        <v>2744</v>
      </c>
      <c r="K13" s="11">
        <v>175</v>
      </c>
      <c r="L13" s="11">
        <v>117</v>
      </c>
      <c r="M13" s="11">
        <v>793</v>
      </c>
      <c r="N13" s="11">
        <v>1698</v>
      </c>
      <c r="O13" s="9">
        <v>2783</v>
      </c>
      <c r="P13" s="12">
        <v>0.15904436860068261</v>
      </c>
      <c r="Q13" s="12">
        <v>1.4212827988338228E-2</v>
      </c>
      <c r="R13" s="13">
        <v>1.5003342462208613E-2</v>
      </c>
    </row>
    <row r="14" spans="1:18" ht="15" customHeight="1" x14ac:dyDescent="0.35">
      <c r="A14" t="s">
        <v>50</v>
      </c>
      <c r="B14" s="9">
        <v>3126</v>
      </c>
      <c r="C14" s="9">
        <v>3102</v>
      </c>
      <c r="D14" s="9">
        <v>3271</v>
      </c>
      <c r="E14" s="9">
        <v>3032</v>
      </c>
      <c r="F14" s="10">
        <v>223</v>
      </c>
      <c r="G14" s="10">
        <v>401</v>
      </c>
      <c r="H14" s="10">
        <v>1028</v>
      </c>
      <c r="I14" s="10">
        <v>1397</v>
      </c>
      <c r="J14" s="9">
        <v>3049</v>
      </c>
      <c r="K14" s="11">
        <v>297</v>
      </c>
      <c r="L14" s="11">
        <v>215</v>
      </c>
      <c r="M14" s="11">
        <v>770</v>
      </c>
      <c r="N14" s="11">
        <v>1244</v>
      </c>
      <c r="O14" s="9">
        <v>2526</v>
      </c>
      <c r="P14" s="12">
        <v>-0.10952040085898351</v>
      </c>
      <c r="Q14" s="12">
        <v>-0.17153164972122004</v>
      </c>
      <c r="R14" s="13">
        <v>1.3617837966057835E-2</v>
      </c>
    </row>
    <row r="15" spans="1:18" ht="15" customHeight="1" x14ac:dyDescent="0.35">
      <c r="A15" t="s">
        <v>51</v>
      </c>
      <c r="B15" s="9">
        <v>1695</v>
      </c>
      <c r="C15" s="9">
        <v>1319</v>
      </c>
      <c r="D15" s="9">
        <v>1085</v>
      </c>
      <c r="E15" s="9">
        <v>1122</v>
      </c>
      <c r="F15" s="10">
        <v>62</v>
      </c>
      <c r="G15" s="10">
        <v>107</v>
      </c>
      <c r="H15" s="10">
        <v>192</v>
      </c>
      <c r="I15" s="10">
        <v>556</v>
      </c>
      <c r="J15" s="9">
        <v>917</v>
      </c>
      <c r="K15" s="11">
        <v>71</v>
      </c>
      <c r="L15" s="11">
        <v>38</v>
      </c>
      <c r="M15" s="11">
        <v>217</v>
      </c>
      <c r="N15" s="11">
        <v>599</v>
      </c>
      <c r="O15" s="9">
        <v>925</v>
      </c>
      <c r="P15" s="12">
        <v>7.7338129496402841E-2</v>
      </c>
      <c r="Q15" s="12">
        <v>8.724100327153872E-3</v>
      </c>
      <c r="R15" s="13">
        <v>4.9867379725271168E-3</v>
      </c>
    </row>
    <row r="16" spans="1:18" ht="15" customHeight="1" x14ac:dyDescent="0.35">
      <c r="A16" t="s">
        <v>29</v>
      </c>
      <c r="B16" s="9">
        <v>30838</v>
      </c>
      <c r="C16" s="9">
        <v>29622</v>
      </c>
      <c r="D16" s="9">
        <v>28380</v>
      </c>
      <c r="E16" s="9">
        <v>30261</v>
      </c>
      <c r="F16" s="10">
        <v>5163</v>
      </c>
      <c r="G16" s="10">
        <v>6253</v>
      </c>
      <c r="H16" s="10">
        <v>7351</v>
      </c>
      <c r="I16" s="10">
        <v>8277</v>
      </c>
      <c r="J16" s="9">
        <v>27044</v>
      </c>
      <c r="K16" s="11">
        <v>5227</v>
      </c>
      <c r="L16" s="11">
        <v>6244</v>
      </c>
      <c r="M16" s="11">
        <v>7622</v>
      </c>
      <c r="N16" s="11">
        <v>8540</v>
      </c>
      <c r="O16" s="9">
        <v>27633</v>
      </c>
      <c r="P16" s="12">
        <v>3.1774797631992202E-2</v>
      </c>
      <c r="Q16" s="12">
        <v>2.1779322585416372E-2</v>
      </c>
      <c r="R16" s="13">
        <v>0.14897138421063982</v>
      </c>
    </row>
    <row r="17" spans="1:18" ht="15" customHeight="1" x14ac:dyDescent="0.35">
      <c r="A17" t="s">
        <v>30</v>
      </c>
      <c r="B17" s="9">
        <v>3049</v>
      </c>
      <c r="C17" s="9">
        <v>3443</v>
      </c>
      <c r="D17" s="9">
        <v>3344</v>
      </c>
      <c r="E17" s="9">
        <v>3441</v>
      </c>
      <c r="F17" s="10">
        <v>721</v>
      </c>
      <c r="G17" s="10">
        <v>321</v>
      </c>
      <c r="H17" s="10">
        <v>717</v>
      </c>
      <c r="I17" s="10">
        <v>690</v>
      </c>
      <c r="J17" s="9">
        <v>2449</v>
      </c>
      <c r="K17" s="11">
        <v>778</v>
      </c>
      <c r="L17" s="11">
        <v>523</v>
      </c>
      <c r="M17" s="11">
        <v>708</v>
      </c>
      <c r="N17" s="11">
        <v>603</v>
      </c>
      <c r="O17" s="9">
        <v>2612</v>
      </c>
      <c r="P17" s="12">
        <v>-0.12608695652173918</v>
      </c>
      <c r="Q17" s="12">
        <v>6.6557778685177649E-2</v>
      </c>
      <c r="R17" s="13">
        <v>1.4081469820800897E-2</v>
      </c>
    </row>
    <row r="18" spans="1:18" ht="15" customHeight="1" x14ac:dyDescent="0.35">
      <c r="A18" t="s">
        <v>31</v>
      </c>
      <c r="B18" s="9">
        <v>2274</v>
      </c>
      <c r="C18" s="9">
        <v>2344</v>
      </c>
      <c r="D18" s="9">
        <v>2966</v>
      </c>
      <c r="E18" s="9">
        <v>3710</v>
      </c>
      <c r="F18" s="10">
        <v>388</v>
      </c>
      <c r="G18" s="10">
        <v>290</v>
      </c>
      <c r="H18" s="10">
        <v>936</v>
      </c>
      <c r="I18" s="10">
        <v>1748</v>
      </c>
      <c r="J18" s="9">
        <v>3362</v>
      </c>
      <c r="K18" s="11">
        <v>363</v>
      </c>
      <c r="L18" s="11">
        <v>273</v>
      </c>
      <c r="M18" s="11">
        <v>759</v>
      </c>
      <c r="N18" s="11">
        <v>1483</v>
      </c>
      <c r="O18" s="9">
        <v>2878</v>
      </c>
      <c r="P18" s="12">
        <v>-0.15160183066361554</v>
      </c>
      <c r="Q18" s="12">
        <v>-0.14396192742415226</v>
      </c>
      <c r="R18" s="13">
        <v>1.5515493929657344E-2</v>
      </c>
    </row>
    <row r="19" spans="1:18" ht="15" customHeight="1" x14ac:dyDescent="0.35">
      <c r="A19" t="s">
        <v>54</v>
      </c>
      <c r="B19" s="9">
        <v>95301</v>
      </c>
      <c r="C19" s="9">
        <v>87156</v>
      </c>
      <c r="D19" s="9">
        <v>84407</v>
      </c>
      <c r="E19" s="9">
        <v>82992</v>
      </c>
      <c r="F19" s="10">
        <v>12814</v>
      </c>
      <c r="G19" s="10">
        <v>16049</v>
      </c>
      <c r="H19" s="10">
        <v>20936</v>
      </c>
      <c r="I19" s="10">
        <v>22055</v>
      </c>
      <c r="J19" s="9">
        <v>71854</v>
      </c>
      <c r="K19" s="11">
        <v>9198</v>
      </c>
      <c r="L19" s="11">
        <v>14917</v>
      </c>
      <c r="M19" s="11">
        <v>16680</v>
      </c>
      <c r="N19" s="11">
        <v>17985</v>
      </c>
      <c r="O19" s="9">
        <v>58780</v>
      </c>
      <c r="P19" s="12">
        <v>-0.18453865336658359</v>
      </c>
      <c r="Q19" s="12">
        <v>-0.18195229214796671</v>
      </c>
      <c r="R19" s="13">
        <v>0.31688698164880424</v>
      </c>
    </row>
    <row r="20" spans="1:18" ht="15" customHeight="1" x14ac:dyDescent="0.35">
      <c r="A20" t="s">
        <v>70</v>
      </c>
      <c r="B20" s="9">
        <v>10399</v>
      </c>
      <c r="C20" s="9">
        <v>9746</v>
      </c>
      <c r="D20" s="9">
        <v>8704</v>
      </c>
      <c r="E20" s="9">
        <v>8263</v>
      </c>
      <c r="F20" s="10">
        <v>1363</v>
      </c>
      <c r="G20" s="10">
        <v>851</v>
      </c>
      <c r="H20" s="10">
        <v>1984</v>
      </c>
      <c r="I20" s="10">
        <v>2629</v>
      </c>
      <c r="J20" s="9">
        <v>6827</v>
      </c>
      <c r="K20" s="11">
        <v>1081</v>
      </c>
      <c r="L20" s="11">
        <v>949</v>
      </c>
      <c r="M20" s="11">
        <v>1487</v>
      </c>
      <c r="N20" s="11">
        <v>2914</v>
      </c>
      <c r="O20" s="9">
        <v>6431</v>
      </c>
      <c r="P20" s="12">
        <v>0.10840623811335104</v>
      </c>
      <c r="Q20" s="12">
        <v>-5.8004980225574876E-2</v>
      </c>
      <c r="R20" s="13">
        <v>3.466995881223988E-2</v>
      </c>
    </row>
    <row r="21" spans="1:18" ht="15" customHeight="1" x14ac:dyDescent="0.35">
      <c r="A21" t="s">
        <v>55</v>
      </c>
      <c r="B21" s="9">
        <v>949</v>
      </c>
      <c r="C21" s="9">
        <v>1133</v>
      </c>
      <c r="D21" s="9">
        <v>1019</v>
      </c>
      <c r="E21" s="9">
        <v>1117</v>
      </c>
      <c r="F21" s="10">
        <v>222</v>
      </c>
      <c r="G21" s="10">
        <v>131</v>
      </c>
      <c r="H21" s="10">
        <v>199</v>
      </c>
      <c r="I21" s="10">
        <v>364</v>
      </c>
      <c r="J21" s="9">
        <v>916</v>
      </c>
      <c r="K21" s="11">
        <v>247</v>
      </c>
      <c r="L21" s="11">
        <v>53</v>
      </c>
      <c r="M21" s="11">
        <v>256</v>
      </c>
      <c r="N21" s="11">
        <v>353</v>
      </c>
      <c r="O21" s="9">
        <v>909</v>
      </c>
      <c r="P21" s="12">
        <v>-3.0219780219780223E-2</v>
      </c>
      <c r="Q21" s="12">
        <v>-7.6419213973799582E-3</v>
      </c>
      <c r="R21" s="13">
        <v>4.9004808832725935E-3</v>
      </c>
    </row>
    <row r="22" spans="1:18" ht="15" customHeight="1" x14ac:dyDescent="0.35">
      <c r="A22" t="s">
        <v>56</v>
      </c>
      <c r="B22" s="9">
        <v>2068</v>
      </c>
      <c r="C22" s="9">
        <v>2178</v>
      </c>
      <c r="D22" s="9">
        <v>2468</v>
      </c>
      <c r="E22" s="9">
        <v>287</v>
      </c>
      <c r="F22" s="10">
        <v>95</v>
      </c>
      <c r="G22" s="10">
        <v>144</v>
      </c>
      <c r="H22" s="10">
        <v>202</v>
      </c>
      <c r="I22" s="10">
        <v>543</v>
      </c>
      <c r="J22" s="9">
        <v>984</v>
      </c>
      <c r="K22" s="11">
        <v>160</v>
      </c>
      <c r="L22" s="11">
        <v>57</v>
      </c>
      <c r="M22" s="11">
        <v>185</v>
      </c>
      <c r="N22" s="11">
        <v>413</v>
      </c>
      <c r="O22" s="9">
        <v>815</v>
      </c>
      <c r="P22" s="12">
        <v>-0.23941068139963173</v>
      </c>
      <c r="Q22" s="12">
        <v>-0.1717479674796748</v>
      </c>
      <c r="R22" s="13">
        <v>4.3937204839022709E-3</v>
      </c>
    </row>
    <row r="23" spans="1:18" ht="15" customHeight="1" x14ac:dyDescent="0.35">
      <c r="A23" t="s">
        <v>71</v>
      </c>
      <c r="B23" s="9">
        <v>1147</v>
      </c>
      <c r="C23" s="9">
        <v>1197</v>
      </c>
      <c r="D23" s="9">
        <v>1186</v>
      </c>
      <c r="E23" s="9">
        <v>1000</v>
      </c>
      <c r="F23" s="10">
        <v>160</v>
      </c>
      <c r="G23" s="10">
        <v>76</v>
      </c>
      <c r="H23" s="10">
        <v>272</v>
      </c>
      <c r="I23" s="10">
        <v>621</v>
      </c>
      <c r="J23" s="9">
        <v>1129</v>
      </c>
      <c r="K23" s="11">
        <v>69</v>
      </c>
      <c r="L23" s="11">
        <v>73</v>
      </c>
      <c r="M23" s="11">
        <v>145</v>
      </c>
      <c r="N23" s="11">
        <v>630</v>
      </c>
      <c r="O23" s="9">
        <v>917</v>
      </c>
      <c r="P23" s="12">
        <v>1.449275362318847E-2</v>
      </c>
      <c r="Q23" s="12">
        <v>-0.18777679362267496</v>
      </c>
      <c r="R23" s="13">
        <v>4.9436094278998552E-3</v>
      </c>
    </row>
    <row r="24" spans="1:18" ht="15" customHeight="1" x14ac:dyDescent="0.35">
      <c r="A24" t="s">
        <v>72</v>
      </c>
      <c r="B24" s="9">
        <v>1567</v>
      </c>
      <c r="C24" s="9">
        <v>1425</v>
      </c>
      <c r="D24" s="9">
        <v>1174</v>
      </c>
      <c r="E24" s="9">
        <v>1244</v>
      </c>
      <c r="F24" s="10">
        <v>111</v>
      </c>
      <c r="G24" s="10">
        <v>19</v>
      </c>
      <c r="H24" s="10">
        <v>338</v>
      </c>
      <c r="I24" s="10">
        <v>607</v>
      </c>
      <c r="J24" s="9">
        <v>1075</v>
      </c>
      <c r="K24" s="11">
        <v>44</v>
      </c>
      <c r="L24" s="11">
        <v>12</v>
      </c>
      <c r="M24" s="11">
        <v>394</v>
      </c>
      <c r="N24" s="11">
        <v>736</v>
      </c>
      <c r="O24" s="9">
        <v>1186</v>
      </c>
      <c r="P24" s="12">
        <v>0.2125205930807248</v>
      </c>
      <c r="Q24" s="12">
        <v>0.10325581395348826</v>
      </c>
      <c r="R24" s="13">
        <v>6.3938067409915252E-3</v>
      </c>
    </row>
    <row r="25" spans="1:18" ht="15" customHeight="1" x14ac:dyDescent="0.35">
      <c r="A25" t="s">
        <v>73</v>
      </c>
      <c r="B25" s="9">
        <v>1286</v>
      </c>
      <c r="C25" s="9">
        <v>1410</v>
      </c>
      <c r="D25" s="9">
        <v>1457</v>
      </c>
      <c r="E25" s="9">
        <v>1637</v>
      </c>
      <c r="F25" s="10">
        <v>157</v>
      </c>
      <c r="G25" s="10">
        <v>106</v>
      </c>
      <c r="H25" s="10">
        <v>391</v>
      </c>
      <c r="I25" s="10">
        <v>670</v>
      </c>
      <c r="J25" s="9">
        <v>1324</v>
      </c>
      <c r="K25" s="11">
        <v>110</v>
      </c>
      <c r="L25" s="11">
        <v>178</v>
      </c>
      <c r="M25" s="11">
        <v>435</v>
      </c>
      <c r="N25" s="11">
        <v>761</v>
      </c>
      <c r="O25" s="9">
        <v>1484</v>
      </c>
      <c r="P25" s="12">
        <v>0.13582089552238807</v>
      </c>
      <c r="Q25" s="12">
        <v>0.12084592145015116</v>
      </c>
      <c r="R25" s="13">
        <v>8.0003450283570188E-3</v>
      </c>
    </row>
    <row r="26" spans="1:18" ht="15" customHeight="1" x14ac:dyDescent="0.35">
      <c r="A26" t="s">
        <v>74</v>
      </c>
      <c r="B26" s="9">
        <v>1186</v>
      </c>
      <c r="C26" s="9">
        <v>1062</v>
      </c>
      <c r="D26" s="9">
        <v>952</v>
      </c>
      <c r="E26" s="9">
        <v>903</v>
      </c>
      <c r="F26" s="10">
        <v>99</v>
      </c>
      <c r="G26" s="10">
        <v>104</v>
      </c>
      <c r="H26" s="10">
        <v>162</v>
      </c>
      <c r="I26" s="10">
        <v>387</v>
      </c>
      <c r="J26" s="9">
        <v>752</v>
      </c>
      <c r="K26" s="11">
        <v>135</v>
      </c>
      <c r="L26" s="11">
        <v>95</v>
      </c>
      <c r="M26" s="11">
        <v>221</v>
      </c>
      <c r="N26" s="11">
        <v>431</v>
      </c>
      <c r="O26" s="9">
        <v>882</v>
      </c>
      <c r="P26" s="12">
        <v>0.11369509043927639</v>
      </c>
      <c r="Q26" s="12">
        <v>0.1728723404255319</v>
      </c>
      <c r="R26" s="13">
        <v>4.7549220451555858E-3</v>
      </c>
    </row>
    <row r="27" spans="1:18" ht="15" customHeight="1" x14ac:dyDescent="0.35">
      <c r="A27" t="s">
        <v>75</v>
      </c>
      <c r="B27" s="9">
        <v>4342</v>
      </c>
      <c r="C27" s="9">
        <v>4327</v>
      </c>
      <c r="D27" s="9">
        <v>3950</v>
      </c>
      <c r="E27" s="9">
        <v>3969</v>
      </c>
      <c r="F27" s="10">
        <v>406</v>
      </c>
      <c r="G27" s="10">
        <v>319</v>
      </c>
      <c r="H27" s="10">
        <v>977</v>
      </c>
      <c r="I27" s="10">
        <v>1835</v>
      </c>
      <c r="J27" s="9">
        <v>3537</v>
      </c>
      <c r="K27" s="11">
        <v>360</v>
      </c>
      <c r="L27" s="11">
        <v>403</v>
      </c>
      <c r="M27" s="11">
        <v>857</v>
      </c>
      <c r="N27" s="11">
        <v>1594</v>
      </c>
      <c r="O27" s="9">
        <v>3214</v>
      </c>
      <c r="P27" s="12">
        <v>-0.13133514986376027</v>
      </c>
      <c r="Q27" s="12">
        <v>-9.1320327961549319E-2</v>
      </c>
      <c r="R27" s="13">
        <v>1.732689280400233E-2</v>
      </c>
    </row>
    <row r="28" spans="1:18" ht="15" customHeight="1" x14ac:dyDescent="0.35">
      <c r="A28" t="s">
        <v>34</v>
      </c>
      <c r="B28" s="9">
        <v>27564</v>
      </c>
      <c r="C28" s="9">
        <v>22910</v>
      </c>
      <c r="D28" s="9">
        <v>20048</v>
      </c>
      <c r="E28" s="9">
        <v>17804</v>
      </c>
      <c r="F28" s="10">
        <v>1651</v>
      </c>
      <c r="G28" s="10">
        <v>1103</v>
      </c>
      <c r="H28" s="10">
        <v>3223</v>
      </c>
      <c r="I28" s="10">
        <v>7511</v>
      </c>
      <c r="J28" s="9">
        <v>13488</v>
      </c>
      <c r="K28" s="11">
        <v>1342</v>
      </c>
      <c r="L28" s="11">
        <v>1349</v>
      </c>
      <c r="M28" s="11">
        <v>2804</v>
      </c>
      <c r="N28" s="11">
        <v>5344</v>
      </c>
      <c r="O28" s="9">
        <v>10839</v>
      </c>
      <c r="P28" s="12">
        <v>-0.28851018506190917</v>
      </c>
      <c r="Q28" s="12">
        <v>-0.19639679715302494</v>
      </c>
      <c r="R28" s="13">
        <v>5.8433786901860997E-2</v>
      </c>
    </row>
    <row r="29" spans="1:18" ht="15" customHeight="1" x14ac:dyDescent="0.35">
      <c r="A29" t="s">
        <v>35</v>
      </c>
      <c r="B29" s="9">
        <f>SUBTOTAL(109,Tabell_Får[2020])</f>
        <v>240517</v>
      </c>
      <c r="C29" s="9">
        <f>SUBTOTAL(109,Tabell_Får[2021])</f>
        <v>230120</v>
      </c>
      <c r="D29" s="9">
        <f>SUBTOTAL(109,Tabell_Får[2022])</f>
        <v>228822</v>
      </c>
      <c r="E29" s="9">
        <f>SUBTOTAL(109,Tabell_Får[2023])</f>
        <v>229132</v>
      </c>
      <c r="F29" s="9">
        <f>SUBTOTAL(109,Tabell_Får[Kvartal 1 2024])</f>
        <v>34080</v>
      </c>
      <c r="G29" s="9">
        <f>SUBTOTAL(109,Tabell_Får[Kvartal 2 2024])</f>
        <v>38817</v>
      </c>
      <c r="H29" s="9">
        <f>SUBTOTAL(109,Tabell_Får[Kvartal 3 2024])</f>
        <v>56463</v>
      </c>
      <c r="I29" s="9">
        <f>SUBTOTAL(109,Tabell_Får[Kvartal 4 2024])</f>
        <v>72442</v>
      </c>
      <c r="J29" s="9">
        <f>SUBTOTAL(109,Tabell_Får[2024])</f>
        <v>201802</v>
      </c>
      <c r="K29" s="9">
        <f>SUBTOTAL(109,Tabell_Får[Kvartal 1 2025])</f>
        <v>28534</v>
      </c>
      <c r="L29" s="9">
        <f>SUBTOTAL(109,Tabell_Får[Kvartal 2 2025])</f>
        <v>40478</v>
      </c>
      <c r="M29" s="9">
        <f>SUBTOTAL(109,Tabell_Får[Kvartal 3 2025])</f>
        <v>50505</v>
      </c>
      <c r="N29" s="9">
        <f>SUBTOTAL(109,Tabell_Får[Kvartal 4 2025])</f>
        <v>65975</v>
      </c>
      <c r="O29" s="9">
        <f>SUBTOTAL(109,Tabell_Får[2025])</f>
        <v>185492</v>
      </c>
      <c r="P29" s="15">
        <f>N29/I29-1</f>
        <v>-8.9271417133707009E-2</v>
      </c>
      <c r="Q29" s="15">
        <f>O29/SUM(F29:I29)-1</f>
        <v>-8.0821795621450754E-2</v>
      </c>
      <c r="R29" s="13">
        <f>SUBTOTAL(109,Tabell_Får[Procentuell andel 2025*])</f>
        <v>1</v>
      </c>
    </row>
    <row r="30" spans="1:18" ht="15" customHeight="1" x14ac:dyDescent="0.3">
      <c r="A30" s="17" t="s">
        <v>76</v>
      </c>
    </row>
    <row r="31" spans="1:18" ht="15" customHeight="1" x14ac:dyDescent="0.3">
      <c r="A31" s="17" t="s">
        <v>37</v>
      </c>
    </row>
    <row r="32" spans="1:18" ht="15" customHeight="1" x14ac:dyDescent="0.3">
      <c r="A32" s="17" t="s">
        <v>77</v>
      </c>
    </row>
    <row r="33" spans="1:1" ht="15" customHeight="1" x14ac:dyDescent="0.3">
      <c r="A33" s="17" t="s">
        <v>39</v>
      </c>
    </row>
    <row r="34" spans="1:1" ht="15" customHeight="1" x14ac:dyDescent="0.3"/>
    <row r="35" spans="1:1" ht="15" customHeight="1" x14ac:dyDescent="0.3"/>
    <row r="36" spans="1:1" ht="15" customHeight="1" x14ac:dyDescent="0.3"/>
    <row r="37" spans="1:1" ht="15" customHeight="1" x14ac:dyDescent="0.3"/>
    <row r="38" spans="1:1" ht="15" customHeight="1" x14ac:dyDescent="0.3"/>
    <row r="39" spans="1:1" ht="15" customHeight="1" x14ac:dyDescent="0.3"/>
    <row r="40" spans="1:1" ht="15" customHeight="1" x14ac:dyDescent="0.3"/>
    <row r="41" spans="1:1" ht="15" customHeight="1" x14ac:dyDescent="0.3"/>
    <row r="42" spans="1:1" ht="15" customHeight="1" x14ac:dyDescent="0.3"/>
    <row r="43" spans="1:1" ht="15" customHeight="1" x14ac:dyDescent="0.3"/>
    <row r="44" spans="1:1" ht="15" customHeight="1" x14ac:dyDescent="0.3"/>
    <row r="45" spans="1:1" ht="15" customHeight="1" x14ac:dyDescent="0.3"/>
    <row r="46" spans="1:1" ht="15" customHeight="1" x14ac:dyDescent="0.3"/>
    <row r="47" spans="1:1" ht="15" customHeight="1" x14ac:dyDescent="0.3"/>
    <row r="48" spans="1:1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C70FE-4C65-48EF-9E24-F7488ED849DB}">
  <sheetPr codeName="flHäst">
    <pageSetUpPr fitToPage="1"/>
  </sheetPr>
  <dimension ref="A1:R92"/>
  <sheetViews>
    <sheetView workbookViewId="0">
      <selection activeCell="A2" sqref="A2"/>
    </sheetView>
  </sheetViews>
  <sheetFormatPr defaultColWidth="9.1796875" defaultRowHeight="12" x14ac:dyDescent="0.3"/>
  <cols>
    <col min="1" max="1" width="27" style="17" customWidth="1"/>
    <col min="2" max="15" width="8.26953125" style="17" customWidth="1"/>
    <col min="16" max="16" width="9.26953125" style="17" customWidth="1"/>
    <col min="17" max="17" width="10.1796875" style="17" customWidth="1"/>
    <col min="18" max="18" width="10" style="17" customWidth="1"/>
    <col min="19" max="16384" width="9.1796875" style="17"/>
  </cols>
  <sheetData>
    <row r="1" spans="1:18" ht="92.25" customHeight="1" x14ac:dyDescent="0.35">
      <c r="A1" s="1" t="s">
        <v>78</v>
      </c>
      <c r="B1"/>
      <c r="C1" s="1"/>
      <c r="E1"/>
      <c r="F1"/>
      <c r="G1"/>
      <c r="H1"/>
      <c r="I1"/>
      <c r="J1" s="1"/>
      <c r="K1"/>
      <c r="L1"/>
      <c r="M1"/>
      <c r="N1"/>
      <c r="O1"/>
      <c r="P1"/>
      <c r="Q1"/>
      <c r="R1" s="2"/>
    </row>
    <row r="2" spans="1:18" ht="45" customHeight="1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  <c r="P2" s="6" t="s">
        <v>16</v>
      </c>
      <c r="Q2" s="6" t="s">
        <v>17</v>
      </c>
      <c r="R2" s="7" t="s">
        <v>18</v>
      </c>
    </row>
    <row r="3" spans="1:18" ht="15" customHeight="1" x14ac:dyDescent="0.35">
      <c r="A3" t="s">
        <v>43</v>
      </c>
      <c r="B3" s="9">
        <v>128</v>
      </c>
      <c r="C3" s="9">
        <v>147</v>
      </c>
      <c r="D3" s="9">
        <v>181</v>
      </c>
      <c r="E3" s="9">
        <v>230</v>
      </c>
      <c r="F3" s="10">
        <v>47</v>
      </c>
      <c r="G3" s="10">
        <v>46</v>
      </c>
      <c r="H3" s="10">
        <v>69</v>
      </c>
      <c r="I3" s="10">
        <v>89</v>
      </c>
      <c r="J3" s="9">
        <v>251</v>
      </c>
      <c r="K3" s="11">
        <v>62</v>
      </c>
      <c r="L3" s="11">
        <v>36</v>
      </c>
      <c r="M3" s="11">
        <v>41</v>
      </c>
      <c r="N3" s="11">
        <v>60</v>
      </c>
      <c r="O3" s="9">
        <v>199</v>
      </c>
      <c r="P3" s="12">
        <v>-0.3258426966292135</v>
      </c>
      <c r="Q3" s="12">
        <v>-0.20717131474103589</v>
      </c>
      <c r="R3" s="13">
        <v>0.21701199563794984</v>
      </c>
    </row>
    <row r="4" spans="1:18" ht="15" customHeight="1" x14ac:dyDescent="0.35">
      <c r="A4" t="s">
        <v>46</v>
      </c>
      <c r="B4" s="9">
        <v>116</v>
      </c>
      <c r="C4" s="9">
        <v>105</v>
      </c>
      <c r="D4" s="9">
        <v>112</v>
      </c>
      <c r="E4" s="9">
        <v>112</v>
      </c>
      <c r="F4" s="10">
        <v>19</v>
      </c>
      <c r="G4" s="10">
        <v>29</v>
      </c>
      <c r="H4" s="10">
        <v>33</v>
      </c>
      <c r="I4" s="10">
        <v>39</v>
      </c>
      <c r="J4" s="9">
        <v>120</v>
      </c>
      <c r="K4" s="11">
        <v>38</v>
      </c>
      <c r="L4" s="11">
        <v>18</v>
      </c>
      <c r="M4" s="11">
        <v>22</v>
      </c>
      <c r="N4" s="11">
        <v>37</v>
      </c>
      <c r="O4" s="9">
        <v>115</v>
      </c>
      <c r="P4" s="12">
        <v>-5.1282051282051322E-2</v>
      </c>
      <c r="Q4" s="12">
        <v>-4.166666666666663E-2</v>
      </c>
      <c r="R4" s="13">
        <v>0.12540894220283533</v>
      </c>
    </row>
    <row r="5" spans="1:18" ht="15" customHeight="1" x14ac:dyDescent="0.35">
      <c r="A5" t="s">
        <v>50</v>
      </c>
      <c r="B5" s="9">
        <v>37</v>
      </c>
      <c r="C5" s="9">
        <v>50</v>
      </c>
      <c r="D5" s="9">
        <v>37</v>
      </c>
      <c r="E5" s="9">
        <v>32</v>
      </c>
      <c r="F5" s="10">
        <v>10</v>
      </c>
      <c r="G5" s="10">
        <v>7</v>
      </c>
      <c r="H5" s="10">
        <v>5</v>
      </c>
      <c r="I5" s="10">
        <v>7</v>
      </c>
      <c r="J5" s="9">
        <v>29</v>
      </c>
      <c r="K5" s="11">
        <v>2</v>
      </c>
      <c r="L5" s="11">
        <v>3</v>
      </c>
      <c r="M5" s="11">
        <v>4</v>
      </c>
      <c r="N5" s="11">
        <v>5</v>
      </c>
      <c r="O5" s="9">
        <v>14</v>
      </c>
      <c r="P5" s="12">
        <v>-0.2857142857142857</v>
      </c>
      <c r="Q5" s="12">
        <v>-0.51724137931034475</v>
      </c>
      <c r="R5" s="13">
        <v>1.5267175572519083E-2</v>
      </c>
    </row>
    <row r="6" spans="1:18" ht="15" customHeight="1" x14ac:dyDescent="0.35">
      <c r="A6" t="s">
        <v>51</v>
      </c>
      <c r="B6" s="9">
        <v>78</v>
      </c>
      <c r="C6" s="9">
        <v>60</v>
      </c>
      <c r="D6" s="9">
        <v>73</v>
      </c>
      <c r="E6" s="9">
        <v>78</v>
      </c>
      <c r="F6" s="10">
        <v>21</v>
      </c>
      <c r="G6" s="10">
        <v>34</v>
      </c>
      <c r="H6" s="10">
        <v>12</v>
      </c>
      <c r="I6" s="10">
        <v>15</v>
      </c>
      <c r="J6" s="9">
        <v>82</v>
      </c>
      <c r="K6" s="11">
        <v>11</v>
      </c>
      <c r="L6" s="11">
        <v>9</v>
      </c>
      <c r="M6" s="11"/>
      <c r="N6" s="11">
        <v>7</v>
      </c>
      <c r="O6" s="9">
        <v>27</v>
      </c>
      <c r="P6" s="12">
        <v>-0.53333333333333333</v>
      </c>
      <c r="Q6" s="12">
        <v>-0.6707317073170731</v>
      </c>
      <c r="R6" s="13">
        <v>2.9443838604143947E-2</v>
      </c>
    </row>
    <row r="7" spans="1:18" ht="15" customHeight="1" x14ac:dyDescent="0.35">
      <c r="A7" t="s">
        <v>52</v>
      </c>
      <c r="B7" s="9">
        <v>263</v>
      </c>
      <c r="C7" s="9">
        <v>191</v>
      </c>
      <c r="D7" s="9">
        <v>229</v>
      </c>
      <c r="E7" s="9">
        <v>298</v>
      </c>
      <c r="F7" s="10">
        <v>86</v>
      </c>
      <c r="G7" s="10">
        <v>61</v>
      </c>
      <c r="H7" s="10">
        <v>49</v>
      </c>
      <c r="I7" s="10">
        <v>128</v>
      </c>
      <c r="J7" s="9">
        <v>324</v>
      </c>
      <c r="K7" s="11">
        <v>55</v>
      </c>
      <c r="L7" s="11">
        <v>44</v>
      </c>
      <c r="M7" s="11">
        <v>74</v>
      </c>
      <c r="N7" s="11">
        <v>94</v>
      </c>
      <c r="O7" s="9">
        <v>267</v>
      </c>
      <c r="P7" s="12">
        <v>-0.265625</v>
      </c>
      <c r="Q7" s="12">
        <v>-0.17592592592592593</v>
      </c>
      <c r="R7" s="13">
        <v>0.29116684841875684</v>
      </c>
    </row>
    <row r="8" spans="1:18" ht="15" customHeight="1" x14ac:dyDescent="0.35">
      <c r="A8" t="s">
        <v>30</v>
      </c>
      <c r="B8" s="9">
        <v>21</v>
      </c>
      <c r="C8" s="9">
        <v>18</v>
      </c>
      <c r="D8" s="9">
        <v>15</v>
      </c>
      <c r="E8" s="9">
        <v>33</v>
      </c>
      <c r="F8" s="10">
        <v>11</v>
      </c>
      <c r="G8" s="10">
        <v>9</v>
      </c>
      <c r="H8" s="10">
        <v>8</v>
      </c>
      <c r="I8" s="10">
        <v>9</v>
      </c>
      <c r="J8" s="9">
        <v>37</v>
      </c>
      <c r="K8" s="11">
        <v>14</v>
      </c>
      <c r="L8" s="11">
        <v>2</v>
      </c>
      <c r="M8" s="11">
        <v>4</v>
      </c>
      <c r="N8" s="11">
        <v>6</v>
      </c>
      <c r="O8" s="9">
        <v>26</v>
      </c>
      <c r="P8" s="12">
        <v>-0.33333333333333337</v>
      </c>
      <c r="Q8" s="12">
        <v>-0.29729729729729726</v>
      </c>
      <c r="R8" s="13">
        <v>2.8353326063249727E-2</v>
      </c>
    </row>
    <row r="9" spans="1:18" ht="15" customHeight="1" x14ac:dyDescent="0.35">
      <c r="A9" t="s">
        <v>55</v>
      </c>
      <c r="B9" s="9">
        <v>56</v>
      </c>
      <c r="C9" s="9">
        <v>30</v>
      </c>
      <c r="D9" s="9">
        <v>72</v>
      </c>
      <c r="E9" s="9">
        <v>108</v>
      </c>
      <c r="F9" s="10">
        <v>28</v>
      </c>
      <c r="G9" s="10">
        <v>25</v>
      </c>
      <c r="H9" s="10">
        <v>20</v>
      </c>
      <c r="I9" s="10">
        <v>30</v>
      </c>
      <c r="J9" s="9">
        <v>103</v>
      </c>
      <c r="K9" s="11">
        <v>17</v>
      </c>
      <c r="L9" s="11">
        <v>21</v>
      </c>
      <c r="M9" s="11">
        <v>16</v>
      </c>
      <c r="N9" s="11">
        <v>19</v>
      </c>
      <c r="O9" s="9">
        <v>73</v>
      </c>
      <c r="P9" s="12">
        <v>-0.3666666666666667</v>
      </c>
      <c r="Q9" s="12">
        <v>-0.29126213592233008</v>
      </c>
      <c r="R9" s="13">
        <v>7.9607415485278082E-2</v>
      </c>
    </row>
    <row r="10" spans="1:18" ht="15" customHeight="1" x14ac:dyDescent="0.35">
      <c r="A10" t="s">
        <v>73</v>
      </c>
      <c r="B10" s="9">
        <v>19</v>
      </c>
      <c r="C10" s="9">
        <v>23</v>
      </c>
      <c r="D10" s="9">
        <v>24</v>
      </c>
      <c r="E10" s="9">
        <v>27</v>
      </c>
      <c r="F10" s="10">
        <v>11</v>
      </c>
      <c r="G10" s="10">
        <v>9</v>
      </c>
      <c r="H10" s="10">
        <v>2</v>
      </c>
      <c r="I10" s="10">
        <v>4</v>
      </c>
      <c r="J10" s="9">
        <v>26</v>
      </c>
      <c r="K10" s="11">
        <v>8</v>
      </c>
      <c r="L10" s="11">
        <v>3</v>
      </c>
      <c r="M10" s="11">
        <v>3</v>
      </c>
      <c r="N10" s="11">
        <v>3</v>
      </c>
      <c r="O10" s="9">
        <v>17</v>
      </c>
      <c r="P10" s="12">
        <v>-0.25</v>
      </c>
      <c r="Q10" s="12">
        <v>-0.34615384615384615</v>
      </c>
      <c r="R10" s="13">
        <v>1.8538713195201745E-2</v>
      </c>
    </row>
    <row r="11" spans="1:18" ht="15" customHeight="1" x14ac:dyDescent="0.35">
      <c r="A11" t="s">
        <v>34</v>
      </c>
      <c r="B11" s="9">
        <v>695</v>
      </c>
      <c r="C11" s="9">
        <v>412</v>
      </c>
      <c r="D11" s="9">
        <v>300</v>
      </c>
      <c r="E11" s="9">
        <v>112</v>
      </c>
      <c r="F11" s="10">
        <v>75</v>
      </c>
      <c r="G11" s="10">
        <v>28</v>
      </c>
      <c r="H11" s="10">
        <v>45</v>
      </c>
      <c r="I11" s="10">
        <v>82</v>
      </c>
      <c r="J11" s="9">
        <v>230</v>
      </c>
      <c r="K11" s="11">
        <v>59</v>
      </c>
      <c r="L11" s="11">
        <v>24</v>
      </c>
      <c r="M11" s="11">
        <v>19</v>
      </c>
      <c r="N11" s="11">
        <v>77</v>
      </c>
      <c r="O11" s="9">
        <v>179</v>
      </c>
      <c r="P11" s="12">
        <v>-6.0975609756097615E-2</v>
      </c>
      <c r="Q11" s="12">
        <v>-0.22173913043478266</v>
      </c>
      <c r="R11" s="13">
        <v>0.19520174482006544</v>
      </c>
    </row>
    <row r="12" spans="1:18" ht="15" customHeight="1" x14ac:dyDescent="0.35">
      <c r="A12" t="s">
        <v>35</v>
      </c>
      <c r="B12" s="9">
        <f>SUBTOTAL(109,Tabell_Häst[2020])</f>
        <v>1413</v>
      </c>
      <c r="C12" s="9">
        <f>SUBTOTAL(109,Tabell_Häst[2021])</f>
        <v>1036</v>
      </c>
      <c r="D12" s="9">
        <f>SUBTOTAL(109,Tabell_Häst[2022])</f>
        <v>1043</v>
      </c>
      <c r="E12" s="9">
        <f>SUBTOTAL(109,Tabell_Häst[2023])</f>
        <v>1030</v>
      </c>
      <c r="F12" s="9">
        <f>SUBTOTAL(109,Tabell_Häst[Kvartal 1 2024])</f>
        <v>308</v>
      </c>
      <c r="G12" s="9">
        <f>SUBTOTAL(109,Tabell_Häst[Kvartal 2 2024])</f>
        <v>248</v>
      </c>
      <c r="H12" s="9">
        <f>SUBTOTAL(109,Tabell_Häst[Kvartal 3 2024])</f>
        <v>243</v>
      </c>
      <c r="I12" s="9">
        <f>SUBTOTAL(109,Tabell_Häst[Kvartal 4 2024])</f>
        <v>403</v>
      </c>
      <c r="J12" s="9">
        <f>SUBTOTAL(109,Tabell_Häst[2024])</f>
        <v>1202</v>
      </c>
      <c r="K12" s="9">
        <f>SUBTOTAL(109,Tabell_Häst[Kvartal 1 2025])</f>
        <v>266</v>
      </c>
      <c r="L12" s="9">
        <f>SUBTOTAL(109,Tabell_Häst[Kvartal 2 2025])</f>
        <v>160</v>
      </c>
      <c r="M12" s="9">
        <f>SUBTOTAL(109,Tabell_Häst[Kvartal 3 2025])</f>
        <v>183</v>
      </c>
      <c r="N12" s="9">
        <f>SUBTOTAL(109,Tabell_Häst[Kvartal 4 2025])</f>
        <v>308</v>
      </c>
      <c r="O12" s="9">
        <f>SUBTOTAL(109,Tabell_Häst[2025])</f>
        <v>917</v>
      </c>
      <c r="P12" s="15">
        <f>N12/I12-1</f>
        <v>-0.23573200992555832</v>
      </c>
      <c r="Q12" s="15">
        <f>O12/SUM(F12:I12)-1</f>
        <v>-0.23710482529118138</v>
      </c>
      <c r="R12" s="13">
        <f>SUBTOTAL(109,Tabell_Häst[Procentuell andel 2025*])</f>
        <v>1</v>
      </c>
    </row>
    <row r="13" spans="1:18" ht="15" customHeight="1" x14ac:dyDescent="0.3">
      <c r="A13" s="17" t="s">
        <v>79</v>
      </c>
    </row>
    <row r="14" spans="1:18" ht="15" customHeight="1" x14ac:dyDescent="0.3">
      <c r="A14" s="17" t="s">
        <v>37</v>
      </c>
    </row>
    <row r="15" spans="1:18" ht="15" customHeight="1" x14ac:dyDescent="0.3">
      <c r="A15" s="17" t="s">
        <v>80</v>
      </c>
    </row>
    <row r="16" spans="1:18" ht="15" customHeight="1" x14ac:dyDescent="0.3">
      <c r="A16" s="17" t="s">
        <v>39</v>
      </c>
    </row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</sheetData>
  <dataConsolidate/>
  <pageMargins left="0.70866141732283472" right="0.31496062992125984" top="0.55118110236220474" bottom="0.74803149606299213" header="0.31496062992125984" footer="0.31496062992125984"/>
  <pageSetup paperSize="9" scale="78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8C52-EEFE-40CE-99A4-BB0E0D1948C7}">
  <sheetPr codeName="Blad1"/>
  <dimension ref="A1:H27"/>
  <sheetViews>
    <sheetView zoomScaleNormal="100" workbookViewId="0">
      <selection activeCell="A2" sqref="A2"/>
    </sheetView>
  </sheetViews>
  <sheetFormatPr defaultColWidth="9.81640625" defaultRowHeight="13" x14ac:dyDescent="0.3"/>
  <cols>
    <col min="1" max="1" width="27" style="20" customWidth="1"/>
    <col min="2" max="2" width="10.54296875" style="20" bestFit="1" customWidth="1"/>
    <col min="3" max="3" width="12.1796875" style="20" customWidth="1"/>
    <col min="4" max="5" width="10" style="20" bestFit="1" customWidth="1"/>
    <col min="6" max="6" width="8.7265625" style="20" customWidth="1"/>
    <col min="7" max="7" width="8.26953125" style="20" customWidth="1"/>
    <col min="8" max="16384" width="9.81640625" style="20"/>
  </cols>
  <sheetData>
    <row r="1" spans="1:8" s="17" customFormat="1" ht="92.25" customHeight="1" x14ac:dyDescent="0.35">
      <c r="A1" s="1" t="s">
        <v>81</v>
      </c>
      <c r="E1"/>
      <c r="F1"/>
      <c r="G1"/>
      <c r="H1"/>
    </row>
    <row r="2" spans="1:8" ht="14.5" x14ac:dyDescent="0.35">
      <c r="A2" s="18" t="s">
        <v>82</v>
      </c>
      <c r="B2" s="19" t="s">
        <v>83</v>
      </c>
      <c r="C2" s="19" t="s">
        <v>84</v>
      </c>
      <c r="D2" s="19" t="s">
        <v>85</v>
      </c>
      <c r="E2" s="19" t="s">
        <v>86</v>
      </c>
      <c r="F2" s="19" t="s">
        <v>87</v>
      </c>
      <c r="G2" s="19" t="s">
        <v>88</v>
      </c>
    </row>
    <row r="3" spans="1:8" ht="14.5" x14ac:dyDescent="0.35">
      <c r="A3" s="21">
        <v>2024</v>
      </c>
      <c r="B3" s="22">
        <v>2576464</v>
      </c>
      <c r="C3" s="22">
        <v>414188</v>
      </c>
      <c r="D3" s="22">
        <v>9943</v>
      </c>
      <c r="E3" s="22">
        <v>201486</v>
      </c>
      <c r="F3" s="22">
        <v>910</v>
      </c>
      <c r="G3" s="22">
        <v>1202</v>
      </c>
    </row>
    <row r="4" spans="1:8" ht="14.5" x14ac:dyDescent="0.35">
      <c r="A4" s="21">
        <v>2023</v>
      </c>
      <c r="B4" s="22">
        <v>2568276</v>
      </c>
      <c r="C4" s="22">
        <v>409754</v>
      </c>
      <c r="D4" s="22">
        <v>10958</v>
      </c>
      <c r="E4" s="22">
        <v>228860</v>
      </c>
      <c r="F4" s="22">
        <v>906</v>
      </c>
      <c r="G4" s="22">
        <v>1030</v>
      </c>
    </row>
    <row r="5" spans="1:8" ht="14.5" x14ac:dyDescent="0.35">
      <c r="A5" s="23">
        <v>2022</v>
      </c>
      <c r="B5" s="9">
        <v>2668928</v>
      </c>
      <c r="C5" s="9">
        <v>400216</v>
      </c>
      <c r="D5" s="9">
        <v>11474</v>
      </c>
      <c r="E5" s="9">
        <v>228822</v>
      </c>
      <c r="F5" s="9">
        <v>1058</v>
      </c>
      <c r="G5" s="9">
        <v>1043</v>
      </c>
    </row>
    <row r="6" spans="1:8" ht="14.5" x14ac:dyDescent="0.35">
      <c r="A6" s="23">
        <v>2021</v>
      </c>
      <c r="B6" s="9">
        <v>2647847</v>
      </c>
      <c r="C6" s="9">
        <v>399962</v>
      </c>
      <c r="D6" s="9">
        <v>11499</v>
      </c>
      <c r="E6" s="9">
        <v>230120</v>
      </c>
      <c r="F6" s="9">
        <v>687</v>
      </c>
      <c r="G6" s="9">
        <v>1036</v>
      </c>
    </row>
    <row r="7" spans="1:8" ht="14.5" x14ac:dyDescent="0.35">
      <c r="A7" s="23">
        <v>2020</v>
      </c>
      <c r="B7" s="9">
        <v>2617581</v>
      </c>
      <c r="C7" s="9">
        <v>420198</v>
      </c>
      <c r="D7" s="9">
        <v>13468</v>
      </c>
      <c r="E7" s="9">
        <v>240517</v>
      </c>
      <c r="F7" s="9">
        <v>779</v>
      </c>
      <c r="G7" s="9">
        <v>1413</v>
      </c>
    </row>
    <row r="8" spans="1:8" ht="14.5" x14ac:dyDescent="0.35">
      <c r="A8" s="23">
        <v>2019</v>
      </c>
      <c r="B8" s="9">
        <v>2568189</v>
      </c>
      <c r="C8" s="9">
        <v>417043</v>
      </c>
      <c r="D8" s="9">
        <v>14891</v>
      </c>
      <c r="E8" s="9">
        <v>251708</v>
      </c>
      <c r="F8" s="9">
        <v>1198</v>
      </c>
      <c r="G8" s="9">
        <v>1712</v>
      </c>
    </row>
    <row r="9" spans="1:8" ht="14.5" x14ac:dyDescent="0.35">
      <c r="A9" s="23">
        <v>2018</v>
      </c>
      <c r="B9" s="9">
        <v>2640842</v>
      </c>
      <c r="C9" s="9">
        <v>409407</v>
      </c>
      <c r="D9" s="9">
        <v>15460</v>
      </c>
      <c r="E9" s="9">
        <v>280955</v>
      </c>
      <c r="F9" s="9">
        <v>1140</v>
      </c>
      <c r="G9" s="9">
        <v>1982</v>
      </c>
    </row>
    <row r="10" spans="1:8" ht="14.5" x14ac:dyDescent="0.35">
      <c r="A10" s="23">
        <v>2017</v>
      </c>
      <c r="B10" s="9">
        <v>2573461</v>
      </c>
      <c r="C10" s="9">
        <v>390996</v>
      </c>
      <c r="D10" s="9">
        <v>14399</v>
      </c>
      <c r="E10" s="9">
        <v>262396</v>
      </c>
      <c r="F10" s="9">
        <v>982</v>
      </c>
      <c r="G10" s="9">
        <v>2134</v>
      </c>
    </row>
    <row r="11" spans="1:8" ht="14.5" x14ac:dyDescent="0.35">
      <c r="A11" s="23">
        <v>2016</v>
      </c>
      <c r="B11" s="9">
        <v>2526661</v>
      </c>
      <c r="C11" s="9">
        <v>394932</v>
      </c>
      <c r="D11" s="9">
        <v>16256</v>
      </c>
      <c r="E11" s="9">
        <v>251448</v>
      </c>
      <c r="F11" s="9">
        <v>1138</v>
      </c>
      <c r="G11" s="9">
        <v>2488</v>
      </c>
    </row>
    <row r="12" spans="1:8" ht="14.5" x14ac:dyDescent="0.35">
      <c r="A12" s="23">
        <v>2015</v>
      </c>
      <c r="B12" s="9">
        <v>2554885</v>
      </c>
      <c r="C12" s="9">
        <v>406628</v>
      </c>
      <c r="D12" s="9">
        <v>21889</v>
      </c>
      <c r="E12" s="9">
        <v>256402</v>
      </c>
      <c r="F12" s="9">
        <v>1166</v>
      </c>
      <c r="G12" s="9">
        <v>2862</v>
      </c>
    </row>
    <row r="13" spans="1:8" ht="14.5" x14ac:dyDescent="0.35">
      <c r="A13" s="23">
        <v>2014</v>
      </c>
      <c r="B13" s="9">
        <v>2567911</v>
      </c>
      <c r="C13" s="9">
        <v>406088</v>
      </c>
      <c r="D13" s="9">
        <v>25739</v>
      </c>
      <c r="E13" s="9">
        <v>257808</v>
      </c>
      <c r="F13" s="9">
        <v>875</v>
      </c>
      <c r="G13" s="9">
        <v>3646</v>
      </c>
    </row>
    <row r="14" spans="1:8" ht="14.5" x14ac:dyDescent="0.35">
      <c r="A14" s="23">
        <v>2013</v>
      </c>
      <c r="B14" s="9">
        <v>2555848</v>
      </c>
      <c r="C14" s="9">
        <v>391347</v>
      </c>
      <c r="D14" s="9">
        <v>27091</v>
      </c>
      <c r="E14" s="9">
        <v>253097</v>
      </c>
      <c r="F14" s="9">
        <v>996</v>
      </c>
      <c r="G14" s="9">
        <v>4012</v>
      </c>
    </row>
    <row r="15" spans="1:8" ht="14.5" x14ac:dyDescent="0.35">
      <c r="A15" s="23">
        <v>2012</v>
      </c>
      <c r="B15" s="9">
        <v>2591862</v>
      </c>
      <c r="C15" s="9">
        <v>391826</v>
      </c>
      <c r="D15" s="9">
        <v>29133</v>
      </c>
      <c r="E15" s="9">
        <v>260521</v>
      </c>
      <c r="F15" s="9">
        <v>898</v>
      </c>
      <c r="G15" s="9">
        <v>4359</v>
      </c>
    </row>
    <row r="16" spans="1:8" ht="14.5" x14ac:dyDescent="0.35">
      <c r="A16" s="23">
        <v>2011</v>
      </c>
      <c r="B16" s="9">
        <v>2854837</v>
      </c>
      <c r="C16" s="9">
        <v>430061</v>
      </c>
      <c r="D16" s="9">
        <v>27188</v>
      </c>
      <c r="E16" s="9">
        <v>261993</v>
      </c>
      <c r="F16" s="9">
        <v>738</v>
      </c>
      <c r="G16" s="9">
        <v>4507</v>
      </c>
    </row>
    <row r="17" spans="1:7" ht="14.5" x14ac:dyDescent="0.35">
      <c r="A17" s="23">
        <v>2010</v>
      </c>
      <c r="B17" s="9">
        <v>2946689</v>
      </c>
      <c r="C17" s="9">
        <v>425664</v>
      </c>
      <c r="D17" s="9">
        <v>26655</v>
      </c>
      <c r="E17" s="9">
        <v>254909</v>
      </c>
      <c r="F17" s="9">
        <v>490</v>
      </c>
      <c r="G17" s="9">
        <v>3969</v>
      </c>
    </row>
    <row r="18" spans="1:7" ht="14.5" x14ac:dyDescent="0.35">
      <c r="A18" s="23">
        <v>2009</v>
      </c>
      <c r="B18" s="9">
        <v>2956412</v>
      </c>
      <c r="C18" s="9">
        <v>429526</v>
      </c>
      <c r="D18" s="9">
        <v>29425</v>
      </c>
      <c r="E18" s="9">
        <v>255072</v>
      </c>
      <c r="F18" s="9">
        <v>782</v>
      </c>
      <c r="G18" s="9">
        <v>3814</v>
      </c>
    </row>
    <row r="19" spans="1:7" ht="14.5" x14ac:dyDescent="0.35">
      <c r="A19" s="23">
        <v>2008</v>
      </c>
      <c r="B19" s="9">
        <v>3072441</v>
      </c>
      <c r="C19" s="9">
        <v>401597</v>
      </c>
      <c r="D19" s="9">
        <v>28661</v>
      </c>
      <c r="E19" s="9">
        <v>235031</v>
      </c>
      <c r="F19" s="9">
        <v>741</v>
      </c>
      <c r="G19" s="9">
        <v>3496</v>
      </c>
    </row>
    <row r="20" spans="1:7" ht="14.5" x14ac:dyDescent="0.35">
      <c r="A20" s="23">
        <v>2007</v>
      </c>
      <c r="B20" s="9">
        <v>3003777</v>
      </c>
      <c r="C20" s="9">
        <v>419408</v>
      </c>
      <c r="D20" s="9">
        <v>30124</v>
      </c>
      <c r="E20" s="9">
        <v>230975</v>
      </c>
      <c r="F20" s="9">
        <v>515</v>
      </c>
      <c r="G20" s="9">
        <v>2995</v>
      </c>
    </row>
    <row r="21" spans="1:7" ht="14.5" x14ac:dyDescent="0.35">
      <c r="A21" s="23">
        <v>2006</v>
      </c>
      <c r="B21" s="9">
        <v>3022036</v>
      </c>
      <c r="C21" s="9">
        <v>431679</v>
      </c>
      <c r="D21" s="9">
        <v>32425</v>
      </c>
      <c r="E21" s="9">
        <v>212854</v>
      </c>
      <c r="F21" s="9">
        <v>581</v>
      </c>
      <c r="G21" s="9">
        <v>3021</v>
      </c>
    </row>
    <row r="22" spans="1:7" ht="14.5" x14ac:dyDescent="0.35">
      <c r="A22" s="23">
        <v>2005</v>
      </c>
      <c r="B22" s="9">
        <v>3159941</v>
      </c>
      <c r="C22" s="9">
        <v>433044</v>
      </c>
      <c r="D22" s="9">
        <v>33036</v>
      </c>
      <c r="E22" s="9">
        <v>205983</v>
      </c>
      <c r="F22" s="9">
        <v>247</v>
      </c>
      <c r="G22" s="9">
        <v>3521</v>
      </c>
    </row>
    <row r="23" spans="1:7" ht="14.5" x14ac:dyDescent="0.35">
      <c r="A23" s="23">
        <v>2004</v>
      </c>
      <c r="B23" s="9">
        <v>3364833</v>
      </c>
      <c r="C23" s="9">
        <v>458016</v>
      </c>
      <c r="D23" s="9">
        <v>33868</v>
      </c>
      <c r="E23" s="9">
        <v>193241</v>
      </c>
      <c r="F23" s="9">
        <v>251</v>
      </c>
      <c r="G23" s="9">
        <v>5042</v>
      </c>
    </row>
    <row r="24" spans="1:7" ht="14.5" x14ac:dyDescent="0.35">
      <c r="A24" s="23">
        <v>2003</v>
      </c>
      <c r="B24" s="9">
        <v>3304939</v>
      </c>
      <c r="C24" s="9">
        <v>454222</v>
      </c>
      <c r="D24" s="9">
        <v>31536</v>
      </c>
      <c r="E24" s="9">
        <v>192432</v>
      </c>
      <c r="F24" s="9">
        <v>298</v>
      </c>
      <c r="G24" s="9">
        <v>5349</v>
      </c>
    </row>
    <row r="25" spans="1:7" ht="14.5" x14ac:dyDescent="0.35">
      <c r="A25" s="23">
        <v>2002</v>
      </c>
      <c r="B25" s="9">
        <v>3282338</v>
      </c>
      <c r="C25" s="9">
        <v>472928</v>
      </c>
      <c r="D25" s="9">
        <v>33831</v>
      </c>
      <c r="E25" s="9">
        <v>197278</v>
      </c>
      <c r="F25" s="9">
        <v>489</v>
      </c>
      <c r="G25" s="9">
        <v>5454</v>
      </c>
    </row>
    <row r="26" spans="1:7" ht="14.5" x14ac:dyDescent="0.35">
      <c r="A26" s="23">
        <v>2001</v>
      </c>
      <c r="B26" s="9">
        <v>3197296</v>
      </c>
      <c r="C26" s="9">
        <v>464032</v>
      </c>
      <c r="D26" s="9">
        <v>34290</v>
      </c>
      <c r="E26" s="9">
        <v>197343</v>
      </c>
      <c r="F26" s="9">
        <v>405</v>
      </c>
      <c r="G26" s="9">
        <v>5173</v>
      </c>
    </row>
    <row r="27" spans="1:7" ht="15" thickBot="1" x14ac:dyDescent="0.4">
      <c r="A27" s="24">
        <v>2000</v>
      </c>
      <c r="B27" s="25">
        <v>3256929</v>
      </c>
      <c r="C27" s="25">
        <v>490169</v>
      </c>
      <c r="D27" s="25">
        <v>39068</v>
      </c>
      <c r="E27" s="25">
        <v>203836</v>
      </c>
      <c r="F27" s="25">
        <v>391</v>
      </c>
      <c r="G27" s="25">
        <v>5448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Gris</vt:lpstr>
      <vt:lpstr>Storboskap</vt:lpstr>
      <vt:lpstr>Kalv</vt:lpstr>
      <vt:lpstr>Får och lamm</vt:lpstr>
      <vt:lpstr>Häst</vt:lpstr>
      <vt:lpstr>Årshistorik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Kvartalsstatistik för godkänd slakt kvartal 4 år 2025</dc:title>
  <dc:creator>Jordbruksverket</dc:creator>
  <cp:keywords>Storboskap, Kalv, Gris, Får och lamm, Häst, Årshistorik,</cp:keywords>
  <cp:lastModifiedBy>Johanna Granlund</cp:lastModifiedBy>
  <dcterms:created xsi:type="dcterms:W3CDTF">2026-01-23T13:08:51Z</dcterms:created>
  <dcterms:modified xsi:type="dcterms:W3CDTF">2026-01-23T14:49:47Z</dcterms:modified>
</cp:coreProperties>
</file>