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G:\Avdelning\Landsbygdsavdelningen\6.Landsbygdsutvecklingsenheten\Konkurrenskraft\Kompetensutveckling\Upphandlingar\Stalltävling 2016\Leverans o bedömning\Leveranser\Slaktungnöt - HS\Slutleverans\"/>
    </mc:Choice>
  </mc:AlternateContent>
  <bookViews>
    <workbookView xWindow="0" yWindow="0" windowWidth="28800" windowHeight="13692" tabRatio="800" activeTab="1"/>
  </bookViews>
  <sheets>
    <sheet name="Intro" sheetId="9" r:id="rId1"/>
    <sheet name="Investeringskalkyl" sheetId="1" r:id="rId2"/>
    <sheet name="Noter investering" sheetId="12" r:id="rId3"/>
    <sheet name="Driftkalkyl - Slaktungnöt" sheetId="7" r:id="rId4"/>
    <sheet name="noter drift slaktnöt" sheetId="13" r:id="rId5"/>
    <sheet name="Blad10" sheetId="10" r:id="rId6"/>
  </sheets>
  <definedNames>
    <definedName name="blue_a2">#REF!</definedName>
    <definedName name="Djurslag">Blad10!$A$3:$A$8</definedName>
    <definedName name="pristyp">#REF!</definedName>
    <definedName name="prodstorlek">#REF!</definedName>
    <definedName name="stodomrade">#REF!</definedName>
    <definedName name="Välj_djurslag">Blad10!$A$2:$A$8</definedName>
  </definedNames>
  <calcPr calcId="162913"/>
</workbook>
</file>

<file path=xl/calcChain.xml><?xml version="1.0" encoding="utf-8"?>
<calcChain xmlns="http://schemas.openxmlformats.org/spreadsheetml/2006/main">
  <c r="G60" i="7" l="1"/>
  <c r="F60" i="7"/>
  <c r="G53" i="7"/>
  <c r="F53" i="7"/>
  <c r="G48" i="7"/>
  <c r="F48" i="7"/>
  <c r="E56" i="1"/>
  <c r="E54" i="1"/>
  <c r="E53" i="1"/>
  <c r="E51" i="1" l="1"/>
  <c r="E39" i="1"/>
  <c r="E38" i="1"/>
  <c r="B4" i="7" l="1"/>
  <c r="E61" i="1" l="1"/>
  <c r="E47" i="1"/>
  <c r="E45" i="1"/>
  <c r="F21" i="7" l="1"/>
  <c r="F39" i="1" l="1"/>
  <c r="F63" i="1"/>
  <c r="F57" i="1"/>
  <c r="F55" i="1"/>
  <c r="F54" i="1"/>
  <c r="F53" i="1"/>
  <c r="F40" i="1"/>
  <c r="E41" i="1"/>
  <c r="F41" i="1" s="1"/>
  <c r="B7" i="7" l="1"/>
  <c r="C50" i="7" s="1"/>
  <c r="E51" i="7" l="1"/>
  <c r="E50" i="7"/>
  <c r="C67" i="1"/>
  <c r="C54" i="7" l="1"/>
  <c r="F38" i="7" l="1"/>
  <c r="F37" i="7"/>
  <c r="F50" i="7"/>
  <c r="F33" i="7"/>
  <c r="F23" i="7"/>
  <c r="F59" i="7"/>
  <c r="F58" i="7"/>
  <c r="F57" i="7"/>
  <c r="F56" i="7"/>
  <c r="F55" i="7"/>
  <c r="F52" i="7"/>
  <c r="F47" i="7"/>
  <c r="F46" i="7"/>
  <c r="F45" i="7"/>
  <c r="F44" i="7"/>
  <c r="F43" i="7"/>
  <c r="F42" i="7"/>
  <c r="F41" i="7"/>
  <c r="F40" i="7"/>
  <c r="F39" i="7"/>
  <c r="F36" i="7"/>
  <c r="F35" i="7"/>
  <c r="F32" i="7"/>
  <c r="F28" i="7"/>
  <c r="F27" i="7"/>
  <c r="F26" i="7"/>
  <c r="F25" i="7"/>
  <c r="F24" i="7"/>
  <c r="F22" i="7"/>
  <c r="E34" i="7" l="1"/>
  <c r="F34" i="7" s="1"/>
  <c r="C51" i="7" s="1"/>
  <c r="B8" i="7"/>
  <c r="F29" i="7"/>
  <c r="G34" i="7" l="1"/>
  <c r="B15" i="7"/>
  <c r="G42" i="7"/>
  <c r="G39" i="7"/>
  <c r="G43" i="7"/>
  <c r="G59" i="7"/>
  <c r="G21" i="7"/>
  <c r="G55" i="7"/>
  <c r="G40" i="7"/>
  <c r="G47" i="7"/>
  <c r="G44" i="7"/>
  <c r="G22" i="7"/>
  <c r="G46" i="7"/>
  <c r="G50" i="7"/>
  <c r="G28" i="7"/>
  <c r="G32" i="7"/>
  <c r="G26" i="7"/>
  <c r="G58" i="7"/>
  <c r="G37" i="7"/>
  <c r="G35" i="7"/>
  <c r="G23" i="7"/>
  <c r="G33" i="7"/>
  <c r="G41" i="7"/>
  <c r="G36" i="7"/>
  <c r="G56" i="7"/>
  <c r="G45" i="7"/>
  <c r="G24" i="7"/>
  <c r="G25" i="7"/>
  <c r="G38" i="7"/>
  <c r="G52" i="7"/>
  <c r="G57" i="7"/>
  <c r="G27" i="7"/>
  <c r="F51" i="7"/>
  <c r="B13" i="7" l="1"/>
  <c r="G29" i="7"/>
  <c r="G51" i="7"/>
  <c r="F62" i="1" l="1"/>
  <c r="F61" i="1"/>
  <c r="F60" i="1"/>
  <c r="F56" i="1"/>
  <c r="F52" i="1"/>
  <c r="F51" i="1"/>
  <c r="F48" i="1"/>
  <c r="F47" i="1"/>
  <c r="F46" i="1"/>
  <c r="F45" i="1"/>
  <c r="F44" i="1"/>
  <c r="F38" i="1"/>
  <c r="F42" i="1" s="1"/>
  <c r="F34" i="1"/>
  <c r="F35" i="1"/>
  <c r="B25" i="1"/>
  <c r="F58" i="1" l="1"/>
  <c r="F49" i="1"/>
  <c r="F36" i="1"/>
  <c r="F64" i="1"/>
  <c r="E66" i="1" l="1"/>
  <c r="F66" i="1" s="1"/>
  <c r="E67" i="1" s="1"/>
  <c r="F67" i="1" s="1"/>
  <c r="F68" i="1" l="1"/>
  <c r="F69" i="1" s="1"/>
  <c r="F70" i="1" s="1"/>
  <c r="F71" i="1" s="1"/>
  <c r="B20" i="1" s="1"/>
  <c r="F72" i="1" l="1"/>
  <c r="F75" i="1"/>
  <c r="E49" i="7"/>
  <c r="F49" i="7" s="1"/>
  <c r="F73" i="1"/>
  <c r="G49" i="7" l="1"/>
  <c r="E54" i="7"/>
  <c r="F54" i="7" s="1"/>
  <c r="G54" i="7" l="1"/>
  <c r="B16" i="7"/>
  <c r="F61" i="7" l="1"/>
  <c r="G61" i="7" s="1"/>
  <c r="B17" i="7"/>
  <c r="B11" i="7" s="1"/>
  <c r="B18" i="1"/>
  <c r="B12" i="7" l="1"/>
  <c r="B21" i="1" l="1"/>
  <c r="B22" i="1" s="1"/>
  <c r="B28" i="1" l="1"/>
  <c r="B27" i="1"/>
</calcChain>
</file>

<file path=xl/sharedStrings.xml><?xml version="1.0" encoding="utf-8"?>
<sst xmlns="http://schemas.openxmlformats.org/spreadsheetml/2006/main" count="431" uniqueCount="305">
  <si>
    <t>Total yta</t>
  </si>
  <si>
    <t>m2</t>
  </si>
  <si>
    <t>Byggdelar</t>
  </si>
  <si>
    <t>Utgift</t>
  </si>
  <si>
    <t>Kr/enhet</t>
  </si>
  <si>
    <t>Antal/yta</t>
  </si>
  <si>
    <t>Not</t>
  </si>
  <si>
    <t>Markarbete</t>
  </si>
  <si>
    <t>Byggnad</t>
  </si>
  <si>
    <t>Personalutrymmen</t>
  </si>
  <si>
    <t>Övriga serviceutrymmen</t>
  </si>
  <si>
    <t>Installationer</t>
  </si>
  <si>
    <t xml:space="preserve">Vatten, framdragning/anslutning </t>
  </si>
  <si>
    <t>El framdragning/anslutning</t>
  </si>
  <si>
    <t>El-installationer</t>
  </si>
  <si>
    <t>Övriga installationer</t>
  </si>
  <si>
    <t>Gödselvårdsanläggning</t>
  </si>
  <si>
    <t>Gödselledningar</t>
  </si>
  <si>
    <t>Byggledning</t>
  </si>
  <si>
    <t>Markarbete för byggnader &amp; brunnar</t>
  </si>
  <si>
    <t>Vägar &amp; planer</t>
  </si>
  <si>
    <t>Inredning &amp; utrustning</t>
  </si>
  <si>
    <t>Delsumma markarbete</t>
  </si>
  <si>
    <t>Delsumma installationer</t>
  </si>
  <si>
    <t>Delsumma inredning &amp; utrustning</t>
  </si>
  <si>
    <t>Delsumma gödselvårdsanläggning</t>
  </si>
  <si>
    <t>Enhet</t>
  </si>
  <si>
    <t>Antal djurplatser</t>
  </si>
  <si>
    <t>Utrymmen för besök</t>
  </si>
  <si>
    <t>Utvecklingsgrupp</t>
  </si>
  <si>
    <t>Organisation</t>
  </si>
  <si>
    <t>Namn</t>
  </si>
  <si>
    <t>Kalkylmall</t>
  </si>
  <si>
    <t>suggor</t>
  </si>
  <si>
    <t>slaktgrisar</t>
  </si>
  <si>
    <t>tackor</t>
  </si>
  <si>
    <t>dikor</t>
  </si>
  <si>
    <t>slaktungnöt</t>
  </si>
  <si>
    <t>Välj djurslag…</t>
  </si>
  <si>
    <t/>
  </si>
  <si>
    <t>kr</t>
  </si>
  <si>
    <t>st</t>
  </si>
  <si>
    <t>Nationellt stöd</t>
  </si>
  <si>
    <t>ton</t>
  </si>
  <si>
    <t>kg</t>
  </si>
  <si>
    <t>Strömedel</t>
  </si>
  <si>
    <t>El</t>
  </si>
  <si>
    <t>kWh</t>
  </si>
  <si>
    <t>Produktionsrådgivning</t>
  </si>
  <si>
    <t>SUMMA SÄRKOSTNADER 1</t>
  </si>
  <si>
    <t>Ränta djurkapital</t>
  </si>
  <si>
    <t>SUMMA SÄRKOSTNADER 2</t>
  </si>
  <si>
    <t>Byggnader, avskr + ränta</t>
  </si>
  <si>
    <t>tim</t>
  </si>
  <si>
    <t>SUMMA SÄRKOSTNADER 3</t>
  </si>
  <si>
    <t>Grundförutsättningar</t>
  </si>
  <si>
    <t>Arbete (inkl. eget arbete)</t>
  </si>
  <si>
    <t>%</t>
  </si>
  <si>
    <t>Pris per enhet</t>
  </si>
  <si>
    <t>Övriga kostnader</t>
  </si>
  <si>
    <t>Nyckeltal</t>
  </si>
  <si>
    <t>Försäkringar för stallbyggnad</t>
  </si>
  <si>
    <t>Försäkringar för djur</t>
  </si>
  <si>
    <t>Investeringsstöd enligt schablon, totalt</t>
  </si>
  <si>
    <t>Investeringsutgift per djurplats utan stöd</t>
  </si>
  <si>
    <t>---</t>
  </si>
  <si>
    <t>Summa kostnader</t>
  </si>
  <si>
    <t>Ekonomisk livslängd</t>
  </si>
  <si>
    <t>år</t>
  </si>
  <si>
    <t>kr/år</t>
  </si>
  <si>
    <t>SUMMA med investeringsstöd (exkl. utrymme för visning)</t>
  </si>
  <si>
    <t>Investeringsutgift per djurplats med stöd</t>
  </si>
  <si>
    <t>Avkastningskrav på investering, nominell kalkylränta</t>
  </si>
  <si>
    <t>Inflation</t>
  </si>
  <si>
    <t>per år</t>
  </si>
  <si>
    <t>Real kalkylränta</t>
  </si>
  <si>
    <t>Byggledning &amp; ränta</t>
  </si>
  <si>
    <t>Delsumma byggledning &amp; ränta</t>
  </si>
  <si>
    <t>Ränta under byggtid</t>
  </si>
  <si>
    <t>Uppföljning av produktion, ekonomi &amp; drift</t>
  </si>
  <si>
    <t>Totalt för stallet</t>
  </si>
  <si>
    <t>Summa intäkter</t>
  </si>
  <si>
    <t>TB 1</t>
  </si>
  <si>
    <t>TB 2</t>
  </si>
  <si>
    <t>TB 3</t>
  </si>
  <si>
    <t>Investeringskalkyl</t>
  </si>
  <si>
    <t>Värde</t>
  </si>
  <si>
    <t>Yta stall</t>
  </si>
  <si>
    <t>Yta serviceutrymmen &amp; övriga utrymmen (exklusive utrymmen för visning)</t>
  </si>
  <si>
    <t>Yta utrymmen för visning</t>
  </si>
  <si>
    <t>INVESTERINGSUTGIFT</t>
  </si>
  <si>
    <t>GRUNDDATA</t>
  </si>
  <si>
    <t>Byggnader, löpande underhåll</t>
  </si>
  <si>
    <t>SÄRINTÄKTER</t>
  </si>
  <si>
    <t>SÄRKOSTNADER</t>
  </si>
  <si>
    <t>Gödsel</t>
  </si>
  <si>
    <t>Kompensationsstöd</t>
  </si>
  <si>
    <t>Mineralfoder</t>
  </si>
  <si>
    <t>Driftsledning</t>
  </si>
  <si>
    <t>Ersättning för ekologisk produktion</t>
  </si>
  <si>
    <t>Kött</t>
  </si>
  <si>
    <t>Veterinär &amp; medicin</t>
  </si>
  <si>
    <t>mjölkkor</t>
  </si>
  <si>
    <t>Ränta rörelsekapital</t>
  </si>
  <si>
    <t>Nettonuvärde vid 5 % avkastning</t>
  </si>
  <si>
    <t>Netto betesmark</t>
  </si>
  <si>
    <t>Investeringsutgift (efter investeringsstöd enligt schablon)</t>
  </si>
  <si>
    <t>Koncentrat</t>
  </si>
  <si>
    <t>Driftnetto per år enligt driftkalkyl</t>
  </si>
  <si>
    <t>Driftnetto per år exklusive avskrivningar och ränta</t>
  </si>
  <si>
    <t>Resultat för stallet</t>
  </si>
  <si>
    <t>Vinstmarginal i stallkalkylen</t>
  </si>
  <si>
    <t>Driftkalkyl - Slaktungnöt</t>
  </si>
  <si>
    <t>Löner</t>
  </si>
  <si>
    <t>&lt;- Välj djurslag i rullistan</t>
  </si>
  <si>
    <t>Ålder kalv inköp</t>
  </si>
  <si>
    <t>månader</t>
  </si>
  <si>
    <t>Slaktålder</t>
  </si>
  <si>
    <t>Uppfödningstid</t>
  </si>
  <si>
    <t>Genomsnitt antal uppfödda per år</t>
  </si>
  <si>
    <t>Täckningsbidrag per slaktungnöt</t>
  </si>
  <si>
    <t>Kvant per slaktungnöt</t>
  </si>
  <si>
    <t>Kronor per slaktungnöt</t>
  </si>
  <si>
    <t>Nötkreatursstöd</t>
  </si>
  <si>
    <t>Kalv</t>
  </si>
  <si>
    <t>Förmedlingsavgift</t>
  </si>
  <si>
    <t>Spannmål</t>
  </si>
  <si>
    <t>Nuvärdet av driftsnetto (exklusive avskrivningar och ränta)</t>
  </si>
  <si>
    <t>SUMMA Investeringsutgift (exklusive utrymmen för visning)</t>
  </si>
  <si>
    <t>TOTAL INVESTERINGSUTGIFT (inklusive utrymmen för visning, utan stöd)</t>
  </si>
  <si>
    <t>Indata till rullista på fliken "Investeringskalkyl" - RADERA EJ</t>
  </si>
  <si>
    <t>Martina Westlund</t>
  </si>
  <si>
    <t>HS Konsult AB</t>
  </si>
  <si>
    <t>Per Nilsson</t>
  </si>
  <si>
    <t>Esplunda Kött AB</t>
  </si>
  <si>
    <t>Bengt Andréson</t>
  </si>
  <si>
    <t>Hushållningssällskapet Värmland</t>
  </si>
  <si>
    <t>Slaktungnöt</t>
  </si>
  <si>
    <t>Tak, mottagningsstall</t>
  </si>
  <si>
    <t>VA-installationer, inkl. sluten tank</t>
  </si>
  <si>
    <t>Montering inredning</t>
  </si>
  <si>
    <t>Inredning</t>
  </si>
  <si>
    <t>Utfodringsutrustning</t>
  </si>
  <si>
    <t>Traktor inkl. utrustning</t>
  </si>
  <si>
    <t>Silos</t>
  </si>
  <si>
    <t>Montering utfodringsutrustning</t>
  </si>
  <si>
    <t>Stallbyggnad inkl. ventilation</t>
  </si>
  <si>
    <t xml:space="preserve">Övrig utrustning </t>
  </si>
  <si>
    <t xml:space="preserve">Gödselplatta </t>
  </si>
  <si>
    <t xml:space="preserve">Not 1 </t>
  </si>
  <si>
    <t>Not 2</t>
  </si>
  <si>
    <t>Not 3</t>
  </si>
  <si>
    <t xml:space="preserve">Not 4 </t>
  </si>
  <si>
    <t>Not 5</t>
  </si>
  <si>
    <t xml:space="preserve">Not 6 </t>
  </si>
  <si>
    <t xml:space="preserve">Not 7 </t>
  </si>
  <si>
    <t xml:space="preserve">Not 8 </t>
  </si>
  <si>
    <t>Not 9</t>
  </si>
  <si>
    <t>Not 10</t>
  </si>
  <si>
    <t xml:space="preserve">Not 11 </t>
  </si>
  <si>
    <t>Inga övriga installationer.</t>
  </si>
  <si>
    <t xml:space="preserve">Not 12 </t>
  </si>
  <si>
    <t>Not 13</t>
  </si>
  <si>
    <t xml:space="preserve">Not 14 </t>
  </si>
  <si>
    <t>Not 15</t>
  </si>
  <si>
    <t>Not 16</t>
  </si>
  <si>
    <t xml:space="preserve">Not 17 </t>
  </si>
  <si>
    <t>Not 18</t>
  </si>
  <si>
    <t xml:space="preserve">Not 19 </t>
  </si>
  <si>
    <t>Not 20</t>
  </si>
  <si>
    <t>Not 21</t>
  </si>
  <si>
    <t>Not 22</t>
  </si>
  <si>
    <t>Not 23</t>
  </si>
  <si>
    <t>Not 24</t>
  </si>
  <si>
    <t>Not 25</t>
  </si>
  <si>
    <t>Gödsellagun</t>
  </si>
  <si>
    <t xml:space="preserve">Offererat pris. Traktorutgift beräknas på 30% användning för arbete i stallarna. </t>
  </si>
  <si>
    <t>Victoria Thuillier</t>
  </si>
  <si>
    <t xml:space="preserve"> Priset baseras på goda markförhållanden på den aktuella platsen.</t>
  </si>
  <si>
    <t xml:space="preserve">PVDF-tak mottagningsstall. Omräknat från offererat pris från Uniqcover, 1058414 dkk. </t>
  </si>
  <si>
    <t>1 DKK = 1,2854 SEK i september 2017.</t>
  </si>
  <si>
    <t>Ingår i beräkning grundat på offerter och beräkningar i Wikells sektionsdata 4.21</t>
  </si>
  <si>
    <t>Ingår i beräkning grundat på offerter och beräkningar i Wikells sektionsdata 4.21.</t>
  </si>
  <si>
    <t xml:space="preserve">Muntligt pris från leverantör 43400 kr för tank inklusive installation. </t>
  </si>
  <si>
    <t>Offererat pris för övriga VA- installationer:  363 000 kr. Priset inkluderar sakvaror och utrustning så som vattenutkastare,</t>
  </si>
  <si>
    <t>Offererat pris, innefattar framdragning och anslutning till alla tre byggnader. Inkommande el utanför kalvköket.</t>
  </si>
  <si>
    <t xml:space="preserve">Offererat pris. Inkluderar matning, installationer, potenttialutjämning platta och inredning, </t>
  </si>
  <si>
    <t xml:space="preserve"> ytter- och innerbelysning och armaturer, uttag, elcentral, brytare, elradiatorer i personalutrymmen.</t>
  </si>
  <si>
    <t>Mottagningsstall utan personaldel: 235 000 kr. Mottagningsstal inkl. personaldel och kalvkök: 272 000 kr. Uppfödningsstall: 595000 kr</t>
  </si>
  <si>
    <t xml:space="preserve">Playwood till mellanväggar mottagningsstall: 275 kr/m2. 7,1 meter långa mellanväggar, 2 meter höga. </t>
  </si>
  <si>
    <t>Kök med ugn, häll diskbänk, köksfläkt och kylskåp: 11995  kr</t>
  </si>
  <si>
    <t>Bur för förflyttning av djur: Bredd 3000 mm, djup 1800mm, höjd 2100 m: 38500 kr</t>
  </si>
  <si>
    <t>målningsarbeten, plåtarbeten, ventilation uppfödningsstall. Exklusive tak och stomme mottagningsstall (Se pris i not 3).</t>
  </si>
  <si>
    <t>Stallbyggnad</t>
  </si>
  <si>
    <t>Personalutrymme</t>
  </si>
  <si>
    <t>Vatten, framdragning/anslutning</t>
  </si>
  <si>
    <t>Inkluderas i pris för VA- installationer (se not 8).</t>
  </si>
  <si>
    <t>VA-installationer, inklusive sluten tank</t>
  </si>
  <si>
    <t>Elframdragning/anslutning</t>
  </si>
  <si>
    <t>Övrig inredning och utrustning</t>
  </si>
  <si>
    <t xml:space="preserve">Inredning </t>
  </si>
  <si>
    <t xml:space="preserve">20 stycken mellanväggar: 284 m2*275kr=78100 kr </t>
  </si>
  <si>
    <t>En mjöltaxi med behållare 250 liter. Inkluderar värmare, omrörare, pistolhandtag, framdrivning: 65 000 kr</t>
  </si>
  <si>
    <t>Fyra stycken värmelampor till mottagningsstall för uppvärmning vid sjukboxar: 25 000kr</t>
  </si>
  <si>
    <r>
      <t>Uppfödningsstall:</t>
    </r>
    <r>
      <rPr>
        <sz val="11"/>
        <color theme="1"/>
        <rFont val="Calibri"/>
        <family val="2"/>
        <scheme val="minor"/>
      </rPr>
      <t xml:space="preserve"> Grindar, foderfronter, hanteringsgrindar: 560 000kr</t>
    </r>
  </si>
  <si>
    <t>Gummimatta till sjukbox: 26 136 kr</t>
  </si>
  <si>
    <t xml:space="preserve">Offererat pris utrustning uppfödningsstall. </t>
  </si>
  <si>
    <t>Traktor inklusive utrustning</t>
  </si>
  <si>
    <t>Förser uppfödningsstallet med kraftfoder.</t>
  </si>
  <si>
    <t>Montering bandfoderfördelare och mixer</t>
  </si>
  <si>
    <t>Gödselplatta</t>
  </si>
  <si>
    <t>Offerterat pris. 40 meter gödselledning mellan pumpbrunn och gödsellagun, uppfödningsstall. Pris 230 kr/m.</t>
  </si>
  <si>
    <t>Gödsellagun.</t>
  </si>
  <si>
    <t>Offerterat pris. Dukbrunn 3600 m3 (djup 3 meter, krönmått 39,11 x 39,11 meter)</t>
  </si>
  <si>
    <t>Beräknat på uppskattat konsultarvode under byggperioden.</t>
  </si>
  <si>
    <t>Utrymme för besök</t>
  </si>
  <si>
    <t>Besöksbalkong för 10-15 personer i uppfödningsstall. Ingår i beräkning grundat på offerter och beräkningar i Wikells sektionsdata 4.21</t>
  </si>
  <si>
    <t>I utgiften ingår uppförande av stallbyggnader: golv, väggar, målningsarbeten, plåtarbeten, ventilation samt stomme och tak i uppfödningsstall.</t>
  </si>
  <si>
    <t>Pumpbrunn, pump&amp; gödselgasventilation</t>
  </si>
  <si>
    <t>Pumpbrunn, pump &amp; gödselgasventilation</t>
  </si>
  <si>
    <t>Pumpbrunn och pump ingår i beräkning grundat på offerter och beräkningar i Wikells sektionsdata 4.21: 150 000 kr</t>
  </si>
  <si>
    <t>Gödselgasventilation mellan pumpbrunn och stallbyggnad. Fläkt 50 cm i diameter, 6000 rpm. Inklusive vippspjäll och trumma: 10610 kr</t>
  </si>
  <si>
    <t>Växelkurs 2016 9,62 kr/€. 4,5/12 *€92*9,62= 332 kr per djur  Baserat på 2016 års växelkurs</t>
  </si>
  <si>
    <t>Grovfoder + majs</t>
  </si>
  <si>
    <t>Mineralfoder enl. resultaträkning</t>
  </si>
  <si>
    <t>Veterinär &amp; medicin, inkl. avhorning</t>
  </si>
  <si>
    <t>Uppföljning drift och ekonomi baserat på resultaträkning</t>
  </si>
  <si>
    <t xml:space="preserve">De första åren är underhållskostnaderna mindre, men ökar </t>
  </si>
  <si>
    <t>Driftsledning 2-3 h/vecka  *52 veckor= 140 h/ 640djur = 0,22 h/djur</t>
  </si>
  <si>
    <t>Noter driftskalkyl Slaktnöt</t>
  </si>
  <si>
    <t xml:space="preserve">Medelslaktvikt 330 kg eftersträvas i företaget. </t>
  </si>
  <si>
    <t xml:space="preserve">Kalvpriset har stigit de senaste åren från 700 till 1650 -1925 kr.  </t>
  </si>
  <si>
    <t>Förmedlingsavgifter för företaget är 250 kr per djur</t>
  </si>
  <si>
    <t xml:space="preserve">Grovfoderåtgång enligt företagets nuvarande grovfodersystem och odlingsförutsättningar. Bas i uträkningen från resultaträkningen fördelat på antalet djur.  </t>
  </si>
  <si>
    <t>Mjölkersättning</t>
  </si>
  <si>
    <t>Kalvkraftfoder</t>
  </si>
  <si>
    <t xml:space="preserve">Kalvkraftfoder som utfodras i mottagningsstallet. </t>
  </si>
  <si>
    <t>Genomsnittligt pris beräknas till 20 kr/kg beroende på näringsinnehåll.</t>
  </si>
  <si>
    <t xml:space="preserve">Strömedel enl. resultaträkning ca 285 kg per djur. Prognos för ströåtgång är ungefär samma som idag.  </t>
  </si>
  <si>
    <t>Åtgång ca 1,3 ton ts per djur fördelat på 417 kg majs, 833 kg ensilage samt ca 25 kg hö i uppstarten. Ev foderspill ingår. Pris enligt lantbrukarens beräkningar</t>
  </si>
  <si>
    <t>Framkörning foder, drivmedel, underhåll</t>
  </si>
  <si>
    <t>Dödlighet</t>
  </si>
  <si>
    <t>slangvindor, handfat, WC-stol, diskbänkar, avlopp, pumpar, varmvattenberedare etcetera.</t>
  </si>
  <si>
    <t>Vagn för mjölkhinkar, inklusive ställningar för 24 hinkar: 11868 kr.</t>
  </si>
  <si>
    <t>Rundbalsgrip: 12 900 kr</t>
  </si>
  <si>
    <t>Pris på internet. Foderskopa med skruv, lastvolym 2400 liter: 67 800 kr</t>
  </si>
  <si>
    <t>Räknat 5 månaders kredittid på markarbete och 2 månaders kredittid på byggnation och inredning.</t>
  </si>
  <si>
    <t>Två vågplattformar till drivgångar samt behandlingsbur med våg: 94 000 kr</t>
  </si>
  <si>
    <t>Vattenkoppar inklusive rörventil och fästen: 23 000 kr</t>
  </si>
  <si>
    <t>Vattenkoppar inklusive thermorör och transformatorer: 55 000 kr</t>
  </si>
  <si>
    <r>
      <rPr>
        <u/>
        <sz val="11"/>
        <color theme="1"/>
        <rFont val="Calibri"/>
        <family val="2"/>
        <scheme val="minor"/>
      </rPr>
      <t xml:space="preserve">Mottagningsstall: </t>
    </r>
    <r>
      <rPr>
        <sz val="11"/>
        <color theme="1"/>
        <rFont val="Calibri"/>
        <family val="2"/>
        <scheme val="minor"/>
      </rPr>
      <t>Grindar (inklusive stolpar och lösa grindar för hantering vid slakt), foderfronter, krubbor, hinkar med napp, vågbur för kalv: 405 000 kr</t>
    </r>
  </si>
  <si>
    <t xml:space="preserve">Priset på kött har stadigt gått uppåt de senaste åren. Med den aktuella volymen djur, antal djur vid slakttillfälle och frekvens på leverans bör lantbrukaren kunna få ut ett pris på över 45 kr per kg. </t>
  </si>
  <si>
    <t xml:space="preserve">Priset ligger i linje med snittpris enligt Jordbruksverkets prisstatistik de senaste året 2016-17 </t>
  </si>
  <si>
    <t xml:space="preserve">Då kalvtillgången förväntas vara begränsad även framöver, men lantbrukaren har mellangårdsavtal räknar vi på ett pris som på lång sikt ligger lägre än nuvarande marknadspris.  </t>
  </si>
  <si>
    <t xml:space="preserve">Nuvarande dödlighet  på 4-7% beräknas sjunka pga bättre stallmiljö och djurvälfärd. </t>
  </si>
  <si>
    <t>Mjölkersättning utfodras 2 ggr per dag i 6 v. Åtgång knappt 1 kg per kalv och dag. Totalt 35 kg.</t>
  </si>
  <si>
    <t>Spannmål 1,8 ton per djur för att täcka näringsbehovet vid aktuell tillväxt.</t>
  </si>
  <si>
    <t xml:space="preserve">Koncentrat: lägre förbrukning än i dagsläget på grund av effektivare utfodring. </t>
  </si>
  <si>
    <t xml:space="preserve">I veterinärkostnader ingår veterinär, medicin och avhorning. Kostnaden beräknas sjunka avsevärt i jämförelse med dagsläget pga bättre djurmiljö. </t>
  </si>
  <si>
    <t xml:space="preserve">Kostnader framkörning foder förutom arbetstid. Arbetstid se not 23. </t>
  </si>
  <si>
    <t xml:space="preserve">Övriga kostnader enligt resultaträkning, förväntas bli oförändrad. </t>
  </si>
  <si>
    <t xml:space="preserve">senare då byggnaderna blir äldre. I kalkylen är det räknat med 0,5 % i underhåll de första 5-7 </t>
  </si>
  <si>
    <t>åren. Troligtvis ökar underhållet på längre sikt.</t>
  </si>
  <si>
    <t>Försäkringar stallbyggnader enligt lantbrukarens uppskattning/resultaträkning.</t>
  </si>
  <si>
    <t>Försäkringar djur enligt lantbrukarens uppskattning/resultaträkning.</t>
  </si>
  <si>
    <t>Arbete timmar (inkl. egna) baserat på kundens beräkningar en dryg heltidsanställd per år  = 5,5 h/djur</t>
  </si>
  <si>
    <t xml:space="preserve">Totala vikten gödsel beräknas till 7,2 ton per djur. Detta är huvudsakligen flytgödsel och en andel fastgödsel </t>
  </si>
  <si>
    <r>
      <t>Flytgödseln uppskattas till 6 m</t>
    </r>
    <r>
      <rPr>
        <vertAlign val="superscript"/>
        <sz val="11"/>
        <rFont val="Calibri"/>
        <family val="2"/>
        <scheme val="minor"/>
      </rPr>
      <t>3</t>
    </r>
    <r>
      <rPr>
        <sz val="11"/>
        <rFont val="Calibri"/>
        <family val="2"/>
        <scheme val="minor"/>
      </rPr>
      <t xml:space="preserve"> per djur och djupströgödseln till ca 4 m3 per djur</t>
    </r>
  </si>
  <si>
    <t xml:space="preserve">Fasta priser på internet. Tre värmefläktar á 9 kW (med funktion att få ner luftfuktigheten i stallet vintertid): 3 * 5663 kr= 16989 kr. </t>
  </si>
  <si>
    <t xml:space="preserve"> bandfoderfördelare 86 meter, varav 84 meter utfodring, bandtransportör samt styrskåp.</t>
  </si>
  <si>
    <t>Total yta som kräver markarbete för berörda byggnader är 3211 m2</t>
  </si>
  <si>
    <t>Uppskattat pris från entreprenör: 400 kr/m2 för markarbete under byggnader och brunnar.</t>
  </si>
  <si>
    <t>Uppskattat pris från entreprenör 250 kr/m2. Totalt är den yta som kräver vägar och planer ca 4000 m2 (se ritning A-01). Redan befintliga vägar och planer: 1800 m2</t>
  </si>
  <si>
    <t xml:space="preserve">Yta som krävs för nya planer och vägar: 4000-1800= 2200 m2.  </t>
  </si>
  <si>
    <t>Mottagningsstall: 1 854 462  kr. Uppfödningsstall: 7 415 675  kr (exklusive besöksbalkong).</t>
  </si>
  <si>
    <t xml:space="preserve">I utgiften ingår uppförande av omklädningsrum och fikarum för personal. Exklusive komplett kök (se pris i not 13). </t>
  </si>
  <si>
    <t>I utgiften ingår uppförande av foderkök i uppfödningsstall, 207 972 kr och kalvkök i mottagningsstall 213 876 kr.</t>
  </si>
  <si>
    <t>Inkluderar stationär mixer, 18 m3 samt förhöjningskant i gummi,</t>
  </si>
  <si>
    <t>Begagnad Massey Ferguson 5465 med lastare -05 inklusive skopa: 282 400 kr</t>
  </si>
  <si>
    <t>30 % av 282 000 kr= 84720 kr</t>
  </si>
  <si>
    <t>Från energikartläggning. Ny forderblandare med eldrift  ingår.</t>
  </si>
  <si>
    <t xml:space="preserve">Offererat pris. Två stycken CT Silos á 12,30 m3 inklusive skruvar.  Inkluderar frakt och uppställning av silos. </t>
  </si>
  <si>
    <t xml:space="preserve">Offererat pris från leverantör 100 000 kr för mottagningsstallet och 135 000 kr för uppfödningsstallet. Kostnad 400 kr/h. </t>
  </si>
  <si>
    <t>Arbetet utförs istället som eget arbete med ett pris på 220 kr/h. Kostnad mottagningsstall: 55 000 kr. Kostnad uppfödningsstall: 74360 kr</t>
  </si>
  <si>
    <t>Offererad uppskattad tidsåtgång och timpris från leverantör. Montagehjälp från leverantör 4 dagar, 2 man, 495 kr/h.</t>
  </si>
  <si>
    <t>Endast tjurar, vilket innebär att inga djur går på bete.</t>
  </si>
  <si>
    <t>Not 4</t>
  </si>
  <si>
    <t>Kompenstaionsstöd</t>
  </si>
  <si>
    <t>Gården ligger utanför stödområde för kompensationsstöd.</t>
  </si>
  <si>
    <t>Not 6</t>
  </si>
  <si>
    <t>Gården ligger utanför stödområde för nationellt stöd.</t>
  </si>
  <si>
    <t>Not 7</t>
  </si>
  <si>
    <t>Gården drivs konventionellt.</t>
  </si>
  <si>
    <t>Not 8</t>
  </si>
  <si>
    <t>Not 11</t>
  </si>
  <si>
    <t>Not 12</t>
  </si>
  <si>
    <t>Not 14</t>
  </si>
  <si>
    <t>Not 17</t>
  </si>
  <si>
    <t>Not 19</t>
  </si>
  <si>
    <t xml:space="preserve">Not 21 </t>
  </si>
  <si>
    <t xml:space="preserve">Not 23 </t>
  </si>
  <si>
    <t>Not 26</t>
  </si>
  <si>
    <t>Not 27</t>
  </si>
  <si>
    <t>Not 28</t>
  </si>
  <si>
    <t>Produktionsrådgivning enl. resultaträkning. Inkluderar uppföljning av ekonomiska resultat, slaktvikter, uppfödningstid samt foderrådgivning.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</si>
</sst>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0\ &quot;kr&quot;;[Red]\-#,##0\ &quot;kr&quot;"/>
    <numFmt numFmtId="164" formatCode="#,##0\ &quot;kr&quot;"/>
    <numFmt numFmtId="165" formatCode="#,##0.0000"/>
    <numFmt numFmtId="166" formatCode="yy/mm/dd"/>
    <numFmt numFmtId="167" formatCode="#,##0.0"/>
    <numFmt numFmtId="168" formatCode="0.0%"/>
    <numFmt numFmtId="169" formatCode="#,##0\ _k_r"/>
    <numFmt numFmtId="170" formatCode="#,##0.00\ _k_r"/>
    <numFmt numFmtId="171" formatCode="#,##0_k_r"/>
    <numFmt numFmtId="173" formatCode="#,##0_ ;[Red]\-#,##0\ "/>
    <numFmt numFmtId="176" formatCode="_-* #,##0.00\ _€_-;\-* #,##0.00\ _€_-;_-* &quot;-&quot;??\ _€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22"/>
      <color theme="1"/>
      <name val="Cambria"/>
      <family val="1"/>
    </font>
    <font>
      <sz val="11"/>
      <color theme="1"/>
      <name val="Cambria"/>
      <family val="1"/>
    </font>
    <font>
      <sz val="11"/>
      <name val="Cambria"/>
      <family val="1"/>
    </font>
    <font>
      <sz val="11"/>
      <color rgb="FFFF0000"/>
      <name val="Cambria"/>
      <family val="1"/>
    </font>
    <font>
      <b/>
      <i/>
      <sz val="11"/>
      <color theme="1"/>
      <name val="Cambria"/>
      <family val="1"/>
    </font>
    <font>
      <i/>
      <sz val="11"/>
      <color theme="1"/>
      <name val="Cambria"/>
      <family val="1"/>
    </font>
    <font>
      <b/>
      <sz val="12"/>
      <color theme="1"/>
      <name val="Cambria"/>
      <family val="1"/>
    </font>
    <font>
      <b/>
      <i/>
      <sz val="12"/>
      <color theme="1"/>
      <name val="Cambria"/>
      <family val="1"/>
    </font>
    <font>
      <b/>
      <sz val="11"/>
      <color theme="1"/>
      <name val="Cambria"/>
      <family val="1"/>
    </font>
    <font>
      <b/>
      <sz val="11"/>
      <name val="Cambria"/>
      <family val="1"/>
    </font>
    <font>
      <b/>
      <i/>
      <sz val="11"/>
      <name val="Cambria"/>
      <family val="1"/>
    </font>
    <font>
      <i/>
      <sz val="11"/>
      <name val="Cambria"/>
      <family val="1"/>
    </font>
    <font>
      <sz val="10"/>
      <name val="Verdana"/>
      <family val="2"/>
    </font>
    <font>
      <sz val="14"/>
      <name val="Cambria"/>
      <family val="1"/>
    </font>
    <font>
      <b/>
      <sz val="14"/>
      <color rgb="FFFF0000"/>
      <name val="Calibri"/>
      <family val="2"/>
      <scheme val="minor"/>
    </font>
    <font>
      <sz val="11"/>
      <color theme="9"/>
      <name val="Calibri"/>
      <family val="2"/>
      <scheme val="minor"/>
    </font>
    <font>
      <sz val="12"/>
      <color theme="1"/>
      <name val="Times New Roman"/>
      <family val="1"/>
    </font>
    <font>
      <b/>
      <sz val="18"/>
      <color theme="1"/>
      <name val="Calibri"/>
      <family val="2"/>
      <scheme val="minor"/>
    </font>
    <font>
      <sz val="11"/>
      <name val="Calibri"/>
      <family val="2"/>
      <scheme val="minor"/>
    </font>
    <font>
      <b/>
      <i/>
      <sz val="11"/>
      <color theme="1"/>
      <name val="Calibri"/>
      <family val="2"/>
      <scheme val="minor"/>
    </font>
    <font>
      <b/>
      <i/>
      <sz val="11"/>
      <color rgb="FFFF0000"/>
      <name val="Calibri"/>
      <family val="2"/>
      <scheme val="minor"/>
    </font>
    <font>
      <u/>
      <sz val="11"/>
      <color theme="1"/>
      <name val="Calibri"/>
      <family val="2"/>
      <scheme val="minor"/>
    </font>
    <font>
      <b/>
      <sz val="11"/>
      <name val="Calibri"/>
      <family val="2"/>
      <scheme val="minor"/>
    </font>
    <font>
      <vertAlign val="superscript"/>
      <sz val="11"/>
      <name val="Calibri"/>
      <family val="2"/>
      <scheme val="minor"/>
    </font>
    <font>
      <sz val="11"/>
      <name val="Calibri"/>
      <family val="2"/>
    </font>
  </fonts>
  <fills count="5">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2"/>
        <bgColor indexed="64"/>
      </patternFill>
    </fill>
  </fills>
  <borders count="24">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s>
  <cellStyleXfs count="4">
    <xf numFmtId="0" fontId="0" fillId="0" borderId="0"/>
    <xf numFmtId="9" fontId="1" fillId="0" borderId="0" applyFont="0" applyFill="0" applyBorder="0" applyAlignment="0" applyProtection="0"/>
    <xf numFmtId="0" fontId="15" fillId="0" borderId="0"/>
    <xf numFmtId="176" fontId="1" fillId="0" borderId="0" applyFont="0" applyFill="0" applyBorder="0" applyAlignment="0" applyProtection="0"/>
  </cellStyleXfs>
  <cellXfs count="231">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7" fillId="3" borderId="2" xfId="0" applyFont="1" applyFill="1" applyBorder="1"/>
    <xf numFmtId="0" fontId="7" fillId="3" borderId="3" xfId="0" applyFont="1" applyFill="1" applyBorder="1"/>
    <xf numFmtId="0" fontId="4" fillId="3" borderId="3" xfId="0" applyFont="1" applyFill="1" applyBorder="1"/>
    <xf numFmtId="0" fontId="4" fillId="3" borderId="4" xfId="0" applyFont="1" applyFill="1" applyBorder="1"/>
    <xf numFmtId="0" fontId="4" fillId="0" borderId="0" xfId="0" applyFont="1" applyBorder="1"/>
    <xf numFmtId="0" fontId="4" fillId="0" borderId="5" xfId="0" applyFont="1" applyBorder="1" applyAlignment="1">
      <alignment wrapText="1"/>
    </xf>
    <xf numFmtId="0" fontId="4" fillId="0" borderId="0" xfId="0" applyFont="1" applyBorder="1" applyAlignment="1">
      <alignment wrapText="1"/>
    </xf>
    <xf numFmtId="0" fontId="4" fillId="0" borderId="6" xfId="0" applyFont="1" applyBorder="1"/>
    <xf numFmtId="0" fontId="8" fillId="0" borderId="0" xfId="0" applyFont="1" applyBorder="1"/>
    <xf numFmtId="0" fontId="4" fillId="0" borderId="5" xfId="0" applyFont="1" applyBorder="1"/>
    <xf numFmtId="0" fontId="4" fillId="0" borderId="7" xfId="0" applyFont="1" applyBorder="1" applyAlignment="1">
      <alignment wrapText="1"/>
    </xf>
    <xf numFmtId="0" fontId="4" fillId="0" borderId="8" xfId="0" applyFont="1" applyBorder="1"/>
    <xf numFmtId="0" fontId="9" fillId="0" borderId="0" xfId="0" applyFont="1"/>
    <xf numFmtId="0" fontId="7" fillId="0" borderId="5" xfId="0" applyFont="1" applyBorder="1"/>
    <xf numFmtId="0" fontId="8" fillId="0" borderId="0" xfId="0" applyFont="1" applyBorder="1" applyAlignment="1">
      <alignment horizontal="center"/>
    </xf>
    <xf numFmtId="0" fontId="8" fillId="0" borderId="18" xfId="0" applyFont="1" applyBorder="1"/>
    <xf numFmtId="0" fontId="8" fillId="0" borderId="19" xfId="0" applyFont="1" applyBorder="1" applyAlignment="1">
      <alignment horizontal="center"/>
    </xf>
    <xf numFmtId="0" fontId="8" fillId="0" borderId="19" xfId="0" applyFont="1" applyBorder="1"/>
    <xf numFmtId="164" fontId="8" fillId="0" borderId="19" xfId="0" applyNumberFormat="1" applyFont="1" applyBorder="1"/>
    <xf numFmtId="0" fontId="7" fillId="0" borderId="12" xfId="0" applyFont="1" applyBorder="1"/>
    <xf numFmtId="0" fontId="8" fillId="0" borderId="13" xfId="0" applyFont="1" applyBorder="1" applyAlignment="1">
      <alignment horizontal="center"/>
    </xf>
    <xf numFmtId="0" fontId="11" fillId="0" borderId="12" xfId="0" applyFont="1" applyBorder="1"/>
    <xf numFmtId="0" fontId="11" fillId="0" borderId="13" xfId="0" applyFont="1" applyBorder="1"/>
    <xf numFmtId="164" fontId="11" fillId="0" borderId="13" xfId="0" applyNumberFormat="1" applyFont="1" applyBorder="1"/>
    <xf numFmtId="0" fontId="11" fillId="0" borderId="5" xfId="0" applyFont="1" applyBorder="1"/>
    <xf numFmtId="0" fontId="11" fillId="0" borderId="0" xfId="0" applyFont="1" applyBorder="1"/>
    <xf numFmtId="164" fontId="11" fillId="0" borderId="0" xfId="0" applyNumberFormat="1" applyFont="1" applyBorder="1"/>
    <xf numFmtId="0" fontId="4" fillId="4" borderId="12" xfId="0" applyFont="1" applyFill="1" applyBorder="1"/>
    <xf numFmtId="0" fontId="4" fillId="0" borderId="15" xfId="0" applyFont="1" applyBorder="1"/>
    <xf numFmtId="0" fontId="8" fillId="0" borderId="16" xfId="0" applyFont="1" applyBorder="1" applyAlignment="1">
      <alignment horizontal="center"/>
    </xf>
    <xf numFmtId="0" fontId="4" fillId="0" borderId="16" xfId="0" applyFont="1" applyBorder="1"/>
    <xf numFmtId="0" fontId="5" fillId="0" borderId="0" xfId="0" applyFont="1" applyBorder="1" applyProtection="1">
      <protection locked="0"/>
    </xf>
    <xf numFmtId="0" fontId="5" fillId="0" borderId="0" xfId="0" applyFont="1" applyBorder="1" applyAlignment="1" applyProtection="1">
      <alignment horizontal="right"/>
      <protection locked="0"/>
    </xf>
    <xf numFmtId="167" fontId="5" fillId="0" borderId="0" xfId="0" applyNumberFormat="1" applyFont="1" applyFill="1" applyBorder="1" applyProtection="1">
      <protection locked="0"/>
    </xf>
    <xf numFmtId="4" fontId="5"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Border="1" applyAlignment="1" applyProtection="1">
      <alignment horizontal="right"/>
      <protection locked="0"/>
    </xf>
    <xf numFmtId="0" fontId="14" fillId="0" borderId="0" xfId="0" applyFont="1" applyBorder="1" applyAlignment="1" applyProtection="1">
      <alignment horizontal="center"/>
      <protection locked="0"/>
    </xf>
    <xf numFmtId="0" fontId="11" fillId="0" borderId="7" xfId="0" applyFont="1" applyBorder="1"/>
    <xf numFmtId="0" fontId="8" fillId="0" borderId="1" xfId="0" applyFont="1" applyBorder="1" applyAlignment="1">
      <alignment horizontal="center"/>
    </xf>
    <xf numFmtId="0" fontId="11" fillId="0" borderId="1" xfId="0" applyFont="1" applyBorder="1"/>
    <xf numFmtId="164" fontId="11" fillId="0" borderId="1" xfId="0" applyNumberFormat="1" applyFont="1" applyBorder="1"/>
    <xf numFmtId="0" fontId="4" fillId="0" borderId="1" xfId="0" applyFont="1" applyBorder="1"/>
    <xf numFmtId="0" fontId="14" fillId="0" borderId="0" xfId="0" quotePrefix="1" applyFont="1" applyBorder="1" applyAlignment="1" applyProtection="1">
      <alignment horizontal="center"/>
      <protection locked="0"/>
    </xf>
    <xf numFmtId="0" fontId="5" fillId="0" borderId="0" xfId="0" applyFont="1" applyBorder="1" applyAlignment="1" applyProtection="1">
      <alignment horizontal="center"/>
      <protection locked="0"/>
    </xf>
    <xf numFmtId="170" fontId="5" fillId="0" borderId="0" xfId="1" applyNumberFormat="1" applyFont="1" applyFill="1" applyBorder="1" applyProtection="1">
      <protection locked="0"/>
    </xf>
    <xf numFmtId="170" fontId="5" fillId="0" borderId="0" xfId="0" applyNumberFormat="1" applyFont="1" applyBorder="1" applyProtection="1">
      <protection locked="0"/>
    </xf>
    <xf numFmtId="170" fontId="5" fillId="0" borderId="0" xfId="0" applyNumberFormat="1" applyFont="1" applyFill="1" applyBorder="1" applyProtection="1">
      <protection locked="0"/>
    </xf>
    <xf numFmtId="6" fontId="13" fillId="2" borderId="19" xfId="0" applyNumberFormat="1" applyFont="1" applyFill="1" applyBorder="1" applyProtection="1"/>
    <xf numFmtId="0" fontId="15" fillId="0" borderId="0" xfId="2" applyAlignment="1">
      <alignment wrapText="1"/>
    </xf>
    <xf numFmtId="0" fontId="15" fillId="0" borderId="0" xfId="2"/>
    <xf numFmtId="0" fontId="15" fillId="0" borderId="0" xfId="2" applyFont="1" applyFill="1" applyBorder="1"/>
    <xf numFmtId="0" fontId="11" fillId="0" borderId="18" xfId="0" applyFont="1" applyBorder="1"/>
    <xf numFmtId="0" fontId="11" fillId="0" borderId="19" xfId="0" applyFont="1" applyBorder="1"/>
    <xf numFmtId="164" fontId="11" fillId="0" borderId="19" xfId="0" applyNumberFormat="1" applyFont="1" applyBorder="1"/>
    <xf numFmtId="0" fontId="5" fillId="0" borderId="5" xfId="2" applyFont="1" applyFill="1" applyBorder="1" applyAlignment="1">
      <alignment wrapText="1"/>
    </xf>
    <xf numFmtId="0" fontId="5" fillId="0" borderId="6" xfId="2" applyFont="1" applyFill="1" applyBorder="1"/>
    <xf numFmtId="171" fontId="5" fillId="0" borderId="0" xfId="2" applyNumberFormat="1" applyFont="1" applyFill="1" applyBorder="1" applyProtection="1">
      <protection locked="0"/>
    </xf>
    <xf numFmtId="0" fontId="5" fillId="0" borderId="0" xfId="2" applyFont="1" applyFill="1" applyBorder="1"/>
    <xf numFmtId="0" fontId="5" fillId="0" borderId="0" xfId="0" applyFont="1" applyBorder="1" applyAlignment="1" applyProtection="1">
      <alignment wrapText="1"/>
      <protection locked="0"/>
    </xf>
    <xf numFmtId="0" fontId="5" fillId="0" borderId="0" xfId="2" applyFont="1" applyFill="1" applyBorder="1" applyAlignment="1" applyProtection="1">
      <alignment horizontal="right"/>
      <protection locked="0"/>
    </xf>
    <xf numFmtId="0" fontId="5" fillId="0" borderId="0" xfId="2" applyFont="1" applyFill="1" applyBorder="1" applyAlignment="1">
      <alignment wrapText="1"/>
    </xf>
    <xf numFmtId="0" fontId="8" fillId="0" borderId="20" xfId="0" applyFont="1" applyBorder="1"/>
    <xf numFmtId="0" fontId="13" fillId="0" borderId="15" xfId="2" applyFont="1" applyFill="1" applyBorder="1" applyAlignment="1">
      <alignment wrapText="1"/>
    </xf>
    <xf numFmtId="0" fontId="13" fillId="0" borderId="17" xfId="2" applyFont="1" applyFill="1" applyBorder="1"/>
    <xf numFmtId="0" fontId="9" fillId="3" borderId="5" xfId="0" applyFont="1" applyFill="1" applyBorder="1"/>
    <xf numFmtId="0" fontId="10" fillId="3" borderId="0" xfId="0" applyFont="1" applyFill="1" applyBorder="1" applyAlignment="1">
      <alignment horizontal="center"/>
    </xf>
    <xf numFmtId="0" fontId="9" fillId="3" borderId="0" xfId="0" applyFont="1" applyFill="1" applyBorder="1"/>
    <xf numFmtId="0" fontId="9" fillId="3" borderId="6" xfId="0" applyFont="1" applyFill="1" applyBorder="1"/>
    <xf numFmtId="0" fontId="9" fillId="3" borderId="23" xfId="0" applyFont="1" applyFill="1" applyBorder="1"/>
    <xf numFmtId="0" fontId="4" fillId="3" borderId="21" xfId="0" applyFont="1" applyFill="1" applyBorder="1"/>
    <xf numFmtId="0" fontId="4" fillId="3" borderId="22" xfId="0" applyFont="1" applyFill="1" applyBorder="1"/>
    <xf numFmtId="0" fontId="12" fillId="3" borderId="23" xfId="2" applyFont="1" applyFill="1" applyBorder="1" applyAlignment="1">
      <alignment wrapText="1"/>
    </xf>
    <xf numFmtId="0" fontId="12" fillId="3" borderId="21" xfId="2" applyFont="1" applyFill="1" applyBorder="1" applyAlignment="1">
      <alignment horizontal="left" wrapText="1"/>
    </xf>
    <xf numFmtId="0" fontId="12" fillId="3" borderId="22" xfId="2" applyFont="1" applyFill="1" applyBorder="1" applyAlignment="1">
      <alignment wrapText="1"/>
    </xf>
    <xf numFmtId="0" fontId="7" fillId="3" borderId="7" xfId="0" applyFont="1" applyFill="1" applyBorder="1"/>
    <xf numFmtId="0" fontId="7" fillId="3" borderId="1" xfId="0" applyFont="1" applyFill="1" applyBorder="1"/>
    <xf numFmtId="0" fontId="4" fillId="3" borderId="8" xfId="0" applyFont="1" applyFill="1" applyBorder="1"/>
    <xf numFmtId="168" fontId="5" fillId="0" borderId="0" xfId="1" applyNumberFormat="1" applyFont="1" applyFill="1" applyBorder="1" applyProtection="1">
      <protection locked="0"/>
    </xf>
    <xf numFmtId="164" fontId="4" fillId="0" borderId="6" xfId="0" applyNumberFormat="1" applyFont="1" applyFill="1" applyBorder="1"/>
    <xf numFmtId="164" fontId="4" fillId="0" borderId="14" xfId="0" applyNumberFormat="1" applyFont="1" applyFill="1" applyBorder="1"/>
    <xf numFmtId="6" fontId="5" fillId="2" borderId="6" xfId="0" applyNumberFormat="1" applyFont="1" applyFill="1" applyBorder="1" applyProtection="1"/>
    <xf numFmtId="6" fontId="5" fillId="2" borderId="11" xfId="0" applyNumberFormat="1" applyFont="1" applyFill="1" applyBorder="1" applyProtection="1"/>
    <xf numFmtId="171" fontId="5" fillId="0" borderId="0" xfId="2" applyNumberFormat="1" applyFont="1" applyFill="1" applyBorder="1" applyAlignment="1">
      <alignment wrapText="1"/>
    </xf>
    <xf numFmtId="38" fontId="4" fillId="0" borderId="0" xfId="0" applyNumberFormat="1" applyFont="1"/>
    <xf numFmtId="6" fontId="4" fillId="0" borderId="0" xfId="0" applyNumberFormat="1" applyFont="1"/>
    <xf numFmtId="0" fontId="16" fillId="0" borderId="0" xfId="0" applyFont="1"/>
    <xf numFmtId="168" fontId="5" fillId="2" borderId="0" xfId="2" applyNumberFormat="1" applyFont="1" applyFill="1" applyBorder="1" applyAlignment="1" applyProtection="1">
      <alignment horizontal="right"/>
    </xf>
    <xf numFmtId="164" fontId="4" fillId="2" borderId="6" xfId="0" applyNumberFormat="1" applyFont="1" applyFill="1" applyBorder="1" applyProtection="1"/>
    <xf numFmtId="164" fontId="8" fillId="2" borderId="20" xfId="0" applyNumberFormat="1" applyFont="1" applyFill="1" applyBorder="1" applyProtection="1"/>
    <xf numFmtId="164" fontId="11" fillId="2" borderId="14" xfId="0" applyNumberFormat="1" applyFont="1" applyFill="1" applyBorder="1" applyProtection="1"/>
    <xf numFmtId="164" fontId="11" fillId="2" borderId="8" xfId="0" applyNumberFormat="1" applyFont="1" applyFill="1" applyBorder="1" applyProtection="1"/>
    <xf numFmtId="164" fontId="11" fillId="2" borderId="20" xfId="0" applyNumberFormat="1" applyFont="1" applyFill="1" applyBorder="1" applyProtection="1"/>
    <xf numFmtId="164" fontId="11" fillId="2" borderId="6" xfId="0" applyNumberFormat="1" applyFont="1" applyFill="1" applyBorder="1" applyProtection="1"/>
    <xf numFmtId="164" fontId="4" fillId="2" borderId="17" xfId="0" applyNumberFormat="1" applyFont="1" applyFill="1" applyBorder="1" applyProtection="1"/>
    <xf numFmtId="173" fontId="13" fillId="2" borderId="1" xfId="2" applyNumberFormat="1" applyFont="1" applyFill="1" applyBorder="1" applyAlignment="1" applyProtection="1">
      <alignment horizontal="right"/>
    </xf>
    <xf numFmtId="173" fontId="13" fillId="2" borderId="10" xfId="2" applyNumberFormat="1" applyFont="1" applyFill="1" applyBorder="1" applyAlignment="1" applyProtection="1">
      <alignment horizontal="right"/>
    </xf>
    <xf numFmtId="3" fontId="8" fillId="2" borderId="16" xfId="0" applyNumberFormat="1" applyFont="1" applyFill="1" applyBorder="1" applyProtection="1"/>
    <xf numFmtId="0" fontId="4" fillId="0" borderId="5" xfId="0" applyFont="1" applyBorder="1" applyAlignment="1" applyProtection="1">
      <alignment wrapText="1"/>
      <protection locked="0"/>
    </xf>
    <xf numFmtId="0" fontId="4" fillId="0" borderId="0" xfId="0" applyFont="1" applyBorder="1" applyAlignment="1" applyProtection="1">
      <alignment wrapText="1"/>
      <protection locked="0"/>
    </xf>
    <xf numFmtId="0" fontId="4" fillId="0" borderId="0" xfId="0" applyFont="1" applyFill="1" applyBorder="1" applyProtection="1">
      <protection locked="0"/>
    </xf>
    <xf numFmtId="0" fontId="4" fillId="0" borderId="6" xfId="0" applyFont="1" applyBorder="1" applyProtection="1">
      <protection locked="0"/>
    </xf>
    <xf numFmtId="0" fontId="4" fillId="0" borderId="9" xfId="0" applyFont="1" applyBorder="1" applyProtection="1">
      <protection locked="0"/>
    </xf>
    <xf numFmtId="0" fontId="4" fillId="0" borderId="10" xfId="0" applyFont="1" applyBorder="1" applyProtection="1">
      <protection locked="0"/>
    </xf>
    <xf numFmtId="0" fontId="4" fillId="0" borderId="11" xfId="0" applyFont="1" applyBorder="1" applyProtection="1">
      <protection locked="0"/>
    </xf>
    <xf numFmtId="0" fontId="4" fillId="0" borderId="0" xfId="0" applyFont="1" applyBorder="1" applyAlignment="1" applyProtection="1">
      <alignment horizontal="right" wrapText="1"/>
      <protection locked="0"/>
    </xf>
    <xf numFmtId="0" fontId="4" fillId="0" borderId="0" xfId="0" applyFont="1" applyFill="1" applyBorder="1" applyAlignment="1" applyProtection="1">
      <alignment horizontal="right"/>
      <protection locked="0"/>
    </xf>
    <xf numFmtId="0" fontId="4" fillId="0" borderId="1" xfId="0" applyFont="1" applyFill="1" applyBorder="1" applyAlignment="1" applyProtection="1">
      <alignment horizontal="right"/>
      <protection locked="0"/>
    </xf>
    <xf numFmtId="0" fontId="8" fillId="0" borderId="0" xfId="0" applyFont="1" applyBorder="1" applyAlignment="1" applyProtection="1">
      <alignment horizontal="center"/>
      <protection locked="0"/>
    </xf>
    <xf numFmtId="0" fontId="4" fillId="0" borderId="0" xfId="0" applyFont="1" applyBorder="1" applyProtection="1">
      <protection locked="0"/>
    </xf>
    <xf numFmtId="164" fontId="4" fillId="0" borderId="0" xfId="0" applyNumberFormat="1" applyFont="1" applyBorder="1" applyProtection="1">
      <protection locked="0"/>
    </xf>
    <xf numFmtId="0" fontId="8" fillId="0" borderId="19" xfId="0" applyFont="1" applyBorder="1" applyAlignment="1" applyProtection="1">
      <alignment horizontal="center"/>
      <protection locked="0"/>
    </xf>
    <xf numFmtId="0" fontId="8" fillId="0" borderId="19" xfId="0" applyFont="1" applyBorder="1" applyProtection="1">
      <protection locked="0"/>
    </xf>
    <xf numFmtId="164" fontId="8" fillId="0" borderId="19" xfId="0" applyNumberFormat="1" applyFont="1" applyBorder="1" applyProtection="1">
      <protection locked="0"/>
    </xf>
    <xf numFmtId="0" fontId="8" fillId="0" borderId="13" xfId="0" applyFont="1" applyBorder="1" applyAlignment="1" applyProtection="1">
      <alignment horizontal="center"/>
      <protection locked="0"/>
    </xf>
    <xf numFmtId="0" fontId="4" fillId="0" borderId="13" xfId="0" applyFont="1" applyBorder="1" applyProtection="1">
      <protection locked="0"/>
    </xf>
    <xf numFmtId="164" fontId="4" fillId="0" borderId="13" xfId="0" applyNumberFormat="1" applyFont="1" applyBorder="1" applyProtection="1">
      <protection locked="0"/>
    </xf>
    <xf numFmtId="0" fontId="14" fillId="0" borderId="0" xfId="0" applyFont="1" applyBorder="1" applyAlignment="1" applyProtection="1">
      <alignment horizontal="center"/>
    </xf>
    <xf numFmtId="0" fontId="5" fillId="0" borderId="0" xfId="0" applyFont="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Border="1" applyAlignment="1" applyProtection="1">
      <alignment wrapText="1"/>
    </xf>
    <xf numFmtId="3" fontId="5" fillId="0" borderId="0" xfId="0" applyNumberFormat="1" applyFont="1" applyFill="1" applyBorder="1" applyProtection="1"/>
    <xf numFmtId="0" fontId="5" fillId="0" borderId="9" xfId="0" applyFont="1" applyBorder="1" applyAlignment="1" applyProtection="1">
      <alignment horizontal="left" wrapText="1"/>
    </xf>
    <xf numFmtId="0" fontId="4" fillId="0" borderId="5" xfId="0" applyFont="1" applyBorder="1" applyAlignment="1" applyProtection="1">
      <alignment wrapText="1"/>
    </xf>
    <xf numFmtId="0" fontId="4" fillId="0" borderId="9" xfId="0" applyFont="1" applyBorder="1" applyAlignment="1" applyProtection="1">
      <alignment wrapText="1"/>
    </xf>
    <xf numFmtId="6" fontId="4" fillId="2" borderId="11" xfId="0" applyNumberFormat="1" applyFont="1" applyFill="1" applyBorder="1" applyProtection="1"/>
    <xf numFmtId="0" fontId="5" fillId="0" borderId="5" xfId="0" applyFont="1" applyBorder="1" applyAlignment="1" applyProtection="1">
      <alignment horizontal="left" wrapText="1"/>
    </xf>
    <xf numFmtId="169" fontId="5" fillId="2" borderId="0" xfId="0" applyNumberFormat="1" applyFont="1" applyFill="1" applyBorder="1" applyProtection="1"/>
    <xf numFmtId="164" fontId="13" fillId="2" borderId="19" xfId="0" applyNumberFormat="1" applyFont="1" applyFill="1" applyBorder="1" applyProtection="1"/>
    <xf numFmtId="38" fontId="5" fillId="0" borderId="0" xfId="0" applyNumberFormat="1" applyFont="1" applyFill="1" applyBorder="1" applyProtection="1"/>
    <xf numFmtId="3" fontId="5" fillId="2" borderId="0" xfId="0" applyNumberFormat="1" applyFont="1" applyFill="1" applyBorder="1" applyProtection="1"/>
    <xf numFmtId="170" fontId="5" fillId="2" borderId="0" xfId="0" applyNumberFormat="1" applyFont="1" applyFill="1" applyBorder="1" applyProtection="1"/>
    <xf numFmtId="0" fontId="12" fillId="3" borderId="2" xfId="0" applyFont="1" applyFill="1" applyBorder="1" applyAlignment="1" applyProtection="1">
      <alignment horizontal="left" wrapText="1"/>
    </xf>
    <xf numFmtId="164" fontId="12" fillId="3" borderId="4" xfId="0" applyNumberFormat="1" applyFont="1" applyFill="1" applyBorder="1" applyAlignment="1" applyProtection="1">
      <alignment horizontal="left"/>
    </xf>
    <xf numFmtId="3" fontId="4" fillId="0" borderId="0" xfId="0" applyNumberFormat="1" applyFont="1" applyBorder="1" applyProtection="1"/>
    <xf numFmtId="3" fontId="5" fillId="0" borderId="0" xfId="0" applyNumberFormat="1" applyFont="1" applyBorder="1" applyAlignment="1" applyProtection="1">
      <alignment horizontal="right"/>
    </xf>
    <xf numFmtId="0" fontId="5" fillId="0" borderId="0" xfId="0" applyFont="1" applyBorder="1" applyProtection="1"/>
    <xf numFmtId="0" fontId="4" fillId="0" borderId="0" xfId="0" applyFont="1" applyProtection="1"/>
    <xf numFmtId="3" fontId="5" fillId="0" borderId="0" xfId="0" applyNumberFormat="1" applyFont="1" applyBorder="1" applyProtection="1"/>
    <xf numFmtId="0" fontId="5" fillId="0" borderId="0" xfId="0" applyFont="1" applyProtection="1"/>
    <xf numFmtId="165" fontId="5" fillId="0" borderId="0" xfId="0" applyNumberFormat="1" applyFont="1" applyFill="1" applyBorder="1" applyProtection="1"/>
    <xf numFmtId="165" fontId="5" fillId="0" borderId="0" xfId="0" applyNumberFormat="1" applyFont="1" applyBorder="1" applyProtection="1"/>
    <xf numFmtId="0" fontId="5" fillId="0" borderId="1" xfId="0" applyFont="1" applyBorder="1" applyAlignment="1" applyProtection="1">
      <alignment wrapText="1"/>
    </xf>
    <xf numFmtId="0" fontId="5" fillId="0" borderId="1" xfId="0" applyFont="1" applyBorder="1" applyAlignment="1" applyProtection="1">
      <alignment horizontal="right"/>
    </xf>
    <xf numFmtId="3" fontId="5" fillId="0" borderId="1" xfId="0" applyNumberFormat="1" applyFont="1" applyBorder="1" applyAlignment="1" applyProtection="1">
      <alignment horizontal="center"/>
    </xf>
    <xf numFmtId="0" fontId="3" fillId="0" borderId="0" xfId="0" applyFont="1" applyProtection="1"/>
    <xf numFmtId="0" fontId="11" fillId="3" borderId="2" xfId="0" applyFont="1" applyFill="1" applyBorder="1" applyAlignment="1" applyProtection="1">
      <alignment wrapText="1"/>
    </xf>
    <xf numFmtId="0" fontId="4" fillId="3" borderId="3" xfId="0" applyFont="1" applyFill="1" applyBorder="1" applyProtection="1"/>
    <xf numFmtId="0" fontId="4" fillId="3" borderId="4" xfId="0" applyFont="1" applyFill="1" applyBorder="1" applyProtection="1"/>
    <xf numFmtId="0" fontId="4" fillId="2" borderId="0" xfId="0" applyFont="1" applyFill="1" applyBorder="1" applyProtection="1"/>
    <xf numFmtId="0" fontId="4" fillId="0" borderId="6" xfId="0" applyFont="1" applyBorder="1" applyProtection="1"/>
    <xf numFmtId="0" fontId="4" fillId="0" borderId="0" xfId="0" applyFont="1" applyBorder="1" applyProtection="1"/>
    <xf numFmtId="0" fontId="4" fillId="0" borderId="11" xfId="0" applyFont="1" applyBorder="1" applyProtection="1"/>
    <xf numFmtId="0" fontId="12" fillId="3" borderId="19" xfId="0" applyFont="1" applyFill="1" applyBorder="1" applyAlignment="1" applyProtection="1">
      <alignment horizontal="left" wrapText="1"/>
    </xf>
    <xf numFmtId="0" fontId="13" fillId="3" borderId="19" xfId="0" applyFont="1" applyFill="1" applyBorder="1" applyAlignment="1" applyProtection="1">
      <alignment horizontal="center" wrapText="1"/>
    </xf>
    <xf numFmtId="3" fontId="12" fillId="3" borderId="1" xfId="0" applyNumberFormat="1" applyFont="1" applyFill="1" applyBorder="1" applyAlignment="1" applyProtection="1">
      <alignment horizontal="center" wrapText="1"/>
    </xf>
    <xf numFmtId="0" fontId="12" fillId="3" borderId="19" xfId="0" applyFont="1" applyFill="1" applyBorder="1" applyAlignment="1" applyProtection="1">
      <alignment horizontal="center" wrapText="1"/>
    </xf>
    <xf numFmtId="166" fontId="5" fillId="0" borderId="0" xfId="0" applyNumberFormat="1" applyFont="1" applyFill="1" applyBorder="1" applyProtection="1"/>
    <xf numFmtId="0" fontId="13" fillId="0" borderId="19" xfId="0" applyFont="1" applyBorder="1" applyAlignment="1" applyProtection="1">
      <alignment horizontal="left" wrapText="1"/>
    </xf>
    <xf numFmtId="0" fontId="14" fillId="0" borderId="19" xfId="0" applyFont="1" applyBorder="1" applyAlignment="1" applyProtection="1">
      <alignment horizontal="center"/>
    </xf>
    <xf numFmtId="0" fontId="14" fillId="0" borderId="19" xfId="0" applyFont="1" applyBorder="1" applyProtection="1"/>
    <xf numFmtId="0" fontId="14" fillId="0" borderId="19" xfId="0" applyFont="1" applyBorder="1" applyAlignment="1" applyProtection="1">
      <alignment horizontal="right"/>
    </xf>
    <xf numFmtId="2" fontId="14" fillId="0" borderId="19" xfId="0" applyNumberFormat="1" applyFont="1" applyBorder="1" applyProtection="1"/>
    <xf numFmtId="0" fontId="13" fillId="0" borderId="0" xfId="0" applyFont="1" applyBorder="1" applyAlignment="1" applyProtection="1">
      <alignment horizontal="left" wrapText="1"/>
    </xf>
    <xf numFmtId="3" fontId="5" fillId="0" borderId="1" xfId="0" applyNumberFormat="1" applyFont="1" applyBorder="1" applyProtection="1"/>
    <xf numFmtId="2" fontId="5" fillId="0" borderId="1" xfId="0" applyNumberFormat="1" applyFont="1" applyBorder="1" applyProtection="1"/>
    <xf numFmtId="3" fontId="13" fillId="0" borderId="1" xfId="0" applyNumberFormat="1" applyFont="1" applyBorder="1" applyProtection="1"/>
    <xf numFmtId="0" fontId="13" fillId="0" borderId="19" xfId="0" applyFont="1" applyBorder="1" applyAlignment="1" applyProtection="1">
      <alignment wrapText="1"/>
    </xf>
    <xf numFmtId="0" fontId="13" fillId="0" borderId="19" xfId="0" applyFont="1" applyBorder="1" applyAlignment="1" applyProtection="1">
      <alignment horizontal="right"/>
    </xf>
    <xf numFmtId="0" fontId="13" fillId="0" borderId="19" xfId="0" applyFont="1" applyBorder="1" applyProtection="1"/>
    <xf numFmtId="4" fontId="13" fillId="0" borderId="19" xfId="0" applyNumberFormat="1" applyFont="1" applyFill="1" applyBorder="1" applyProtection="1"/>
    <xf numFmtId="0" fontId="14" fillId="0" borderId="0" xfId="0" quotePrefix="1" applyFont="1" applyBorder="1" applyAlignment="1" applyProtection="1">
      <alignment horizontal="center"/>
    </xf>
    <xf numFmtId="0" fontId="12" fillId="0" borderId="19" xfId="0" applyFont="1" applyBorder="1" applyAlignment="1" applyProtection="1">
      <alignment wrapText="1"/>
    </xf>
    <xf numFmtId="3" fontId="13" fillId="0" borderId="19" xfId="0" applyNumberFormat="1" applyFont="1" applyFill="1" applyBorder="1" applyProtection="1"/>
    <xf numFmtId="0" fontId="5" fillId="0" borderId="19" xfId="0" applyFont="1" applyBorder="1" applyAlignment="1" applyProtection="1">
      <alignment wrapText="1"/>
    </xf>
    <xf numFmtId="2" fontId="13" fillId="0" borderId="19" xfId="0" applyNumberFormat="1" applyFont="1" applyBorder="1" applyProtection="1"/>
    <xf numFmtId="0" fontId="5" fillId="0" borderId="0" xfId="0" applyFont="1" applyAlignment="1" applyProtection="1">
      <alignment wrapText="1"/>
    </xf>
    <xf numFmtId="2" fontId="5" fillId="0" borderId="0" xfId="0" applyNumberFormat="1" applyFont="1" applyBorder="1" applyProtection="1"/>
    <xf numFmtId="2" fontId="5" fillId="0" borderId="0" xfId="0" applyNumberFormat="1" applyFont="1" applyFill="1" applyBorder="1" applyProtection="1"/>
    <xf numFmtId="2" fontId="5" fillId="0" borderId="0" xfId="0" applyNumberFormat="1" applyFont="1" applyFill="1" applyBorder="1" applyAlignment="1" applyProtection="1">
      <alignment horizontal="right"/>
    </xf>
    <xf numFmtId="164" fontId="4" fillId="0" borderId="0" xfId="0" applyNumberFormat="1" applyFont="1" applyProtection="1"/>
    <xf numFmtId="0" fontId="5" fillId="0" borderId="6" xfId="0" applyFont="1" applyBorder="1" applyAlignment="1" applyProtection="1">
      <alignment horizontal="left"/>
      <protection locked="0"/>
    </xf>
    <xf numFmtId="0" fontId="8" fillId="4" borderId="13" xfId="0" applyFont="1" applyFill="1" applyBorder="1" applyAlignment="1" applyProtection="1">
      <alignment horizontal="center"/>
      <protection locked="0"/>
    </xf>
    <xf numFmtId="0" fontId="4" fillId="4" borderId="13" xfId="0" applyFont="1" applyFill="1" applyBorder="1" applyProtection="1">
      <protection locked="0"/>
    </xf>
    <xf numFmtId="164" fontId="4" fillId="4" borderId="13" xfId="0" applyNumberFormat="1" applyFont="1" applyFill="1" applyBorder="1" applyProtection="1">
      <protection locked="0"/>
    </xf>
    <xf numFmtId="0" fontId="4" fillId="0" borderId="0" xfId="0" applyFont="1" applyAlignment="1" applyProtection="1">
      <alignment wrapText="1"/>
    </xf>
    <xf numFmtId="0" fontId="12" fillId="3" borderId="4" xfId="0" applyFont="1" applyFill="1" applyBorder="1" applyAlignment="1" applyProtection="1">
      <alignment horizontal="left"/>
    </xf>
    <xf numFmtId="0" fontId="5" fillId="0" borderId="0" xfId="0" applyFont="1" applyFill="1" applyBorder="1" applyProtection="1"/>
    <xf numFmtId="2" fontId="4" fillId="2" borderId="10" xfId="0" applyNumberFormat="1" applyFont="1" applyFill="1" applyBorder="1" applyProtection="1"/>
    <xf numFmtId="168" fontId="5" fillId="0" borderId="0" xfId="1" applyNumberFormat="1" applyFont="1" applyFill="1" applyBorder="1" applyProtection="1"/>
    <xf numFmtId="0" fontId="4" fillId="0" borderId="0" xfId="0" applyFont="1" applyProtection="1">
      <protection locked="0"/>
    </xf>
    <xf numFmtId="168" fontId="4" fillId="2" borderId="6" xfId="0" applyNumberFormat="1" applyFont="1" applyFill="1" applyBorder="1" applyProtection="1"/>
    <xf numFmtId="173" fontId="13" fillId="2" borderId="13" xfId="2" applyNumberFormat="1" applyFont="1" applyFill="1" applyBorder="1" applyAlignment="1" applyProtection="1">
      <alignment horizontal="right"/>
    </xf>
    <xf numFmtId="173" fontId="13" fillId="2" borderId="0" xfId="2" applyNumberFormat="1" applyFont="1" applyFill="1" applyBorder="1" applyAlignment="1" applyProtection="1">
      <alignment horizontal="right"/>
    </xf>
    <xf numFmtId="0" fontId="17" fillId="0" borderId="0" xfId="0" applyFont="1"/>
    <xf numFmtId="164" fontId="5" fillId="0" borderId="0" xfId="0" applyNumberFormat="1" applyFont="1" applyBorder="1" applyProtection="1">
      <protection locked="0"/>
    </xf>
    <xf numFmtId="164" fontId="5" fillId="2" borderId="6" xfId="0" applyNumberFormat="1" applyFont="1" applyFill="1" applyBorder="1" applyProtection="1"/>
    <xf numFmtId="9" fontId="4" fillId="0" borderId="0" xfId="0" applyNumberFormat="1" applyFont="1" applyBorder="1" applyProtection="1">
      <protection locked="0"/>
    </xf>
    <xf numFmtId="0" fontId="0" fillId="0" borderId="0" xfId="0"/>
    <xf numFmtId="0" fontId="2" fillId="0" borderId="0" xfId="0" applyFont="1"/>
    <xf numFmtId="0" fontId="4" fillId="0" borderId="5" xfId="0" applyFont="1" applyBorder="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5" fillId="0" borderId="0" xfId="0" applyFont="1"/>
    <xf numFmtId="0" fontId="21" fillId="0" borderId="0" xfId="0" applyFont="1" applyFill="1"/>
    <xf numFmtId="0" fontId="2" fillId="0" borderId="0" xfId="0" applyFont="1" applyFill="1"/>
    <xf numFmtId="0" fontId="18" fillId="0" borderId="0" xfId="0" applyFont="1" applyFill="1"/>
    <xf numFmtId="0" fontId="27" fillId="0" borderId="0" xfId="0" applyFont="1" applyBorder="1" applyAlignment="1" applyProtection="1">
      <alignment wrapText="1"/>
    </xf>
    <xf numFmtId="169" fontId="5" fillId="0" borderId="0" xfId="0" applyNumberFormat="1" applyFont="1" applyProtection="1"/>
    <xf numFmtId="0" fontId="4" fillId="0" borderId="9" xfId="0" applyFont="1" applyBorder="1" applyAlignment="1" applyProtection="1">
      <alignment horizontal="left"/>
    </xf>
    <xf numFmtId="164" fontId="4" fillId="4" borderId="20" xfId="0" applyNumberFormat="1" applyFont="1" applyFill="1" applyBorder="1" applyProtection="1">
      <protection locked="0"/>
    </xf>
    <xf numFmtId="0" fontId="0" fillId="0" borderId="0" xfId="0"/>
    <xf numFmtId="0" fontId="18" fillId="0" borderId="0" xfId="0" applyFont="1"/>
    <xf numFmtId="0" fontId="0" fillId="0" borderId="0" xfId="0"/>
    <xf numFmtId="0" fontId="0" fillId="0" borderId="0" xfId="0"/>
    <xf numFmtId="0" fontId="23" fillId="0" borderId="0" xfId="0" applyFont="1"/>
    <xf numFmtId="0" fontId="24" fillId="0" borderId="0" xfId="0" applyFont="1"/>
    <xf numFmtId="0" fontId="0" fillId="0" borderId="0" xfId="0"/>
    <xf numFmtId="164" fontId="5" fillId="0" borderId="0" xfId="0" applyNumberFormat="1" applyFont="1" applyBorder="1" applyProtection="1">
      <protection locked="0"/>
    </xf>
    <xf numFmtId="0" fontId="23" fillId="0" borderId="0" xfId="0" applyFont="1"/>
    <xf numFmtId="10" fontId="5" fillId="0" borderId="0" xfId="2" applyNumberFormat="1" applyFont="1" applyFill="1" applyBorder="1" applyAlignment="1" applyProtection="1">
      <alignment horizontal="right"/>
    </xf>
    <xf numFmtId="9" fontId="4" fillId="0" borderId="0" xfId="0" applyNumberFormat="1" applyFont="1" applyFill="1" applyBorder="1" applyProtection="1"/>
  </cellXfs>
  <cellStyles count="4">
    <cellStyle name="Normal" xfId="0" builtinId="0"/>
    <cellStyle name="Normal 2" xfId="2"/>
    <cellStyle name="Procent" xfId="1" builtinId="5"/>
    <cellStyle name="Tusental 2"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7953374" cy="3228975"/>
    <xdr:sp macro="" textlink="">
      <xdr:nvSpPr>
        <xdr:cNvPr id="2" name="textruta 1"/>
        <xdr:cNvSpPr txBox="1"/>
      </xdr:nvSpPr>
      <xdr:spPr>
        <a:xfrm>
          <a:off x="0" y="533400"/>
          <a:ext cx="7953374" cy="322897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marL="0" marR="0" indent="0" defTabSz="914400" eaLnBrk="1" fontAlgn="auto" latinLnBrk="0" hangingPunct="1">
            <a:lnSpc>
              <a:spcPct val="100000"/>
            </a:lnSpc>
            <a:spcBef>
              <a:spcPts val="0"/>
            </a:spcBef>
            <a:spcAft>
              <a:spcPts val="0"/>
            </a:spcAft>
            <a:buClrTx/>
            <a:buSzTx/>
            <a:buFontTx/>
            <a:buNone/>
            <a:tabLst/>
            <a:defRPr/>
          </a:pPr>
          <a:endParaRPr lang="sv-SE" sz="9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a:solidFill>
                <a:schemeClr val="tx1"/>
              </a:solidFill>
              <a:effectLst/>
              <a:latin typeface="Cambria" panose="02040503050406030204" pitchFamily="18" charset="0"/>
              <a:ea typeface="+mn-ea"/>
              <a:cs typeface="+mn-cs"/>
            </a:rPr>
            <a:t>I</a:t>
          </a:r>
          <a:r>
            <a:rPr lang="sv-SE" sz="1050" b="0" baseline="0">
              <a:solidFill>
                <a:schemeClr val="tx1"/>
              </a:solidFill>
              <a:effectLst/>
              <a:latin typeface="Cambria" panose="02040503050406030204" pitchFamily="18" charset="0"/>
              <a:ea typeface="+mn-ea"/>
              <a:cs typeface="+mn-cs"/>
            </a:rPr>
            <a:t> </a:t>
          </a:r>
          <a:r>
            <a:rPr lang="sv-SE" sz="1100" b="0" baseline="0">
              <a:solidFill>
                <a:schemeClr val="tx1"/>
              </a:solidFill>
              <a:effectLst/>
              <a:latin typeface="Cambria" panose="02040503050406030204" pitchFamily="18" charset="0"/>
              <a:ea typeface="+mn-ea"/>
              <a:cs typeface="+mn-cs"/>
            </a:rPr>
            <a:t>denna kalkylmall gör du</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mn-lt"/>
              <a:ea typeface="+mn-ea"/>
              <a:cs typeface="+mn-cs"/>
            </a:rPr>
            <a:t>- </a:t>
          </a:r>
          <a:r>
            <a:rPr lang="sv-SE" sz="1100" b="0" baseline="0">
              <a:solidFill>
                <a:schemeClr val="tx1"/>
              </a:solidFill>
              <a:effectLst/>
              <a:latin typeface="Cambria" panose="02040503050406030204" pitchFamily="18" charset="0"/>
              <a:ea typeface="+mn-ea"/>
              <a:cs typeface="+mn-cs"/>
            </a:rPr>
            <a:t>investeringskalkyl</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driftkalkyl för 12 månader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1) Börja med att fylla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2) Fyll därefter i driftkalkylen. Det finns en flik för varje produktionsgren. Välj den som är aktuell. Övriga flikar kan du ta bort.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Avskrivningar och ränta beräknas automatiskt med hjälp av de uppgifter du skrivit in i fliken "Investeringskalkyl".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3) När du fyllt i driftkalkylen för aktuellt djurslag så kommer investeringskalkylen att beräknas Fyll sedan i investeringskalkylen</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 Investeringskalkylen bygger på de uppgifter du lagt in i fliken "Investeringsutgift" och fliken "Driftkalkyl" för aktuellt djurslag. </a:t>
          </a:r>
        </a:p>
        <a:p>
          <a:pPr marL="0" marR="0" indent="0" defTabSz="914400" eaLnBrk="1" fontAlgn="auto" latinLnBrk="0" hangingPunct="1">
            <a:lnSpc>
              <a:spcPct val="100000"/>
            </a:lnSpc>
            <a:spcBef>
              <a:spcPts val="0"/>
            </a:spcBef>
            <a:spcAft>
              <a:spcPts val="0"/>
            </a:spcAft>
            <a:buClrTx/>
            <a:buSzTx/>
            <a:buFontTx/>
            <a:buNone/>
            <a:tabLst/>
            <a:defRPr/>
          </a:pPr>
          <a:endParaRPr lang="sv-SE" sz="105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050" b="0" baseline="0">
              <a:solidFill>
                <a:schemeClr val="tx1"/>
              </a:solidFill>
              <a:effectLst/>
              <a:latin typeface="Cambria" panose="02040503050406030204" pitchFamily="18" charset="0"/>
              <a:ea typeface="+mn-ea"/>
              <a:cs typeface="+mn-cs"/>
            </a:rPr>
            <a:t>Kalkylbladen är låsta för att du inte ska råka ändra några formler av misstag. Det går att låsa upp dem under fliken "Granska" och klicka på "Ta bort bladets skydd". Det behövs inget lösenord för att låsa upp kalkylbladen.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323850</xdr:colOff>
      <xdr:row>0</xdr:row>
      <xdr:rowOff>152399</xdr:rowOff>
    </xdr:from>
    <xdr:ext cx="7267575" cy="20678776"/>
    <xdr:sp macro="" textlink="">
      <xdr:nvSpPr>
        <xdr:cNvPr id="2" name="textruta 1"/>
        <xdr:cNvSpPr txBox="1"/>
      </xdr:nvSpPr>
      <xdr:spPr>
        <a:xfrm>
          <a:off x="7496175" y="152399"/>
          <a:ext cx="7267575" cy="20678776"/>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Anvisningar</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b="0">
            <a:solidFill>
              <a:schemeClr val="tx1"/>
            </a:solidFill>
            <a:effectLst/>
            <a:latin typeface="Cambria" panose="02040503050406030204" pitchFamily="18" charset="0"/>
            <a:ea typeface="+mn-ea"/>
            <a:cs typeface="+mn-cs"/>
          </a:endParaRPr>
        </a:p>
        <a:p>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Ange</a:t>
          </a:r>
          <a:r>
            <a:rPr lang="sv-SE" sz="1100" b="1" baseline="0">
              <a:solidFill>
                <a:schemeClr val="tx1"/>
              </a:solidFill>
              <a:effectLst/>
              <a:latin typeface="Cambria" panose="02040503050406030204" pitchFamily="18" charset="0"/>
              <a:ea typeface="+mn-ea"/>
              <a:cs typeface="+mn-cs"/>
            </a:rPr>
            <a:t> typ av stall</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Rad 2: Beskriv vad det är</a:t>
          </a:r>
          <a:r>
            <a:rPr lang="sv-SE" sz="1100" b="0" baseline="0">
              <a:solidFill>
                <a:schemeClr val="tx1"/>
              </a:solidFill>
              <a:effectLst/>
              <a:latin typeface="Cambria" panose="02040503050406030204" pitchFamily="18" charset="0"/>
              <a:ea typeface="+mn-ea"/>
              <a:cs typeface="+mn-cs"/>
            </a:rPr>
            <a:t> för typ av stall konceptet avser. T.ex. Stall för slaktgrisproduktion </a:t>
          </a:r>
        </a:p>
        <a:p>
          <a:pPr eaLnBrk="1" fontAlgn="auto" latinLnBrk="0" hangingPunct="1"/>
          <a:endParaRPr lang="sv-SE" sz="1100">
            <a:effectLst/>
            <a:latin typeface="Cambria" panose="02040503050406030204" pitchFamily="18" charset="0"/>
          </a:endParaRPr>
        </a:p>
        <a:p>
          <a:pPr eaLnBrk="1" fontAlgn="auto" latinLnBrk="0" hangingPunct="1"/>
          <a:r>
            <a:rPr lang="sv-SE" sz="1100" b="1">
              <a:solidFill>
                <a:schemeClr val="tx1"/>
              </a:solidFill>
              <a:effectLst/>
              <a:latin typeface="Cambria" panose="02040503050406030204" pitchFamily="18" charset="0"/>
              <a:ea typeface="+mn-ea"/>
              <a:cs typeface="+mn-cs"/>
            </a:rPr>
            <a:t>Utvecklingsgrupp</a:t>
          </a:r>
          <a:endParaRPr lang="sv-SE" sz="1100">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Skriv in namn</a:t>
          </a:r>
          <a:r>
            <a:rPr lang="sv-SE" sz="1100" b="0" baseline="0">
              <a:solidFill>
                <a:schemeClr val="tx1"/>
              </a:solidFill>
              <a:effectLst/>
              <a:latin typeface="Cambria" panose="02040503050406030204" pitchFamily="18" charset="0"/>
              <a:ea typeface="+mn-ea"/>
              <a:cs typeface="+mn-cs"/>
            </a:rPr>
            <a:t> och organisation på de personer som ingår i utvecklingsgruppen som tagit fram konceptet.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u="sng" baseline="0">
              <a:solidFill>
                <a:schemeClr val="tx1"/>
              </a:solidFill>
              <a:effectLst/>
              <a:latin typeface="Cambria" panose="02040503050406030204" pitchFamily="18" charset="0"/>
              <a:ea typeface="+mn-ea"/>
              <a:cs typeface="+mn-cs"/>
            </a:rPr>
            <a:t>GRUNDDATA </a:t>
          </a:r>
        </a:p>
        <a:p>
          <a:pPr eaLnBrk="1" fontAlgn="auto" latinLnBrk="0" hangingPunct="1"/>
          <a:r>
            <a:rPr lang="sv-SE" sz="1100" b="1" baseline="0">
              <a:solidFill>
                <a:schemeClr val="tx1"/>
              </a:solidFill>
              <a:effectLst/>
              <a:latin typeface="Cambria" panose="02040503050406030204" pitchFamily="18" charset="0"/>
              <a:ea typeface="+mn-ea"/>
              <a:cs typeface="+mn-cs"/>
            </a:rPr>
            <a:t>Antal djurplatser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Ange hur många djurplatser stallet är dimensionerat för.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T.ex.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X mjölkkor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Y suggor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 Z slakgrisar</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Denna uppgift används för att räkna ut investeringsutgiften per djurplats. Det är därför viktigt att du anger antalet djurplatser med samma enhet som framgår av kraven på maximal investeringsutgift, se "Investeringsutgift per djurplats" nedan. </a:t>
          </a:r>
        </a:p>
        <a:p>
          <a:pPr eaLnBrk="1" fontAlgn="auto" latinLnBrk="0" hangingPunct="1"/>
          <a:r>
            <a:rPr lang="sv-SE" sz="1100" b="0" baseline="0">
              <a:solidFill>
                <a:schemeClr val="tx1"/>
              </a:solidFill>
              <a:effectLst/>
              <a:latin typeface="Cambria" panose="02040503050406030204" pitchFamily="18" charset="0"/>
              <a:ea typeface="+mn-ea"/>
              <a:cs typeface="+mn-cs"/>
            </a:rPr>
            <a:t>Välj djurslag i rullistan.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Yta</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Ange</a:t>
          </a:r>
          <a:r>
            <a:rPr lang="sv-SE" sz="1100" b="0" baseline="0">
              <a:solidFill>
                <a:schemeClr val="tx1"/>
              </a:solidFill>
              <a:effectLst/>
              <a:latin typeface="Cambria" panose="02040503050406030204" pitchFamily="18" charset="0"/>
              <a:ea typeface="+mn-ea"/>
              <a:cs typeface="+mn-cs"/>
            </a:rPr>
            <a:t> ytan på stallet, serviceutrymmen respektive utrymmen för visning.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INVESTERINGSKALKYL</a:t>
          </a: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Investeringsutgift </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Beloppet hämtas när du har fyllt i uppgifter om investeringsutgift på denna flik. </a:t>
          </a:r>
        </a:p>
        <a:p>
          <a:pPr marL="0" marR="0" indent="0" defTabSz="914400" eaLnBrk="1" fontAlgn="auto" latinLnBrk="0" hangingPunct="1">
            <a:lnSpc>
              <a:spcPct val="100000"/>
            </a:lnSpc>
            <a:spcBef>
              <a:spcPts val="0"/>
            </a:spcBef>
            <a:spcAft>
              <a:spcPts val="0"/>
            </a:spcAft>
            <a:buClrTx/>
            <a:buSzTx/>
            <a:buFontTx/>
            <a:buNone/>
            <a:tabLst/>
            <a:defRPr/>
          </a:pPr>
          <a:endParaRPr lang="sv-SE" sz="1100" b="0"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Driftnetto</a:t>
          </a:r>
        </a:p>
        <a:p>
          <a:pPr marL="0" marR="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Hämtas från driftskalkylen när du har fyllt i den på annan flik i kalkylmallen.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i="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i="0" baseline="0">
              <a:solidFill>
                <a:schemeClr val="tx1"/>
              </a:solidFill>
              <a:effectLst/>
              <a:latin typeface="Cambria" panose="02040503050406030204" pitchFamily="18" charset="0"/>
              <a:ea typeface="+mn-ea"/>
              <a:cs typeface="+mn-cs"/>
            </a:rPr>
            <a:t>Ekonomisk livslängd </a:t>
          </a:r>
        </a:p>
        <a:p>
          <a:pPr marL="0" marR="0" indent="0" defTabSz="914400" eaLnBrk="1" fontAlgn="auto" latinLnBrk="0" hangingPunct="1">
            <a:lnSpc>
              <a:spcPct val="100000"/>
            </a:lnSpc>
            <a:spcBef>
              <a:spcPts val="0"/>
            </a:spcBef>
            <a:spcAft>
              <a:spcPts val="0"/>
            </a:spcAft>
            <a:buClrTx/>
            <a:buSzTx/>
            <a:buFontTx/>
            <a:buNone/>
            <a:tabLst/>
            <a:defRPr/>
          </a:pPr>
          <a:r>
            <a:rPr lang="sv-SE" sz="1100" i="0" baseline="0">
              <a:solidFill>
                <a:schemeClr val="tx1"/>
              </a:solidFill>
              <a:effectLst/>
              <a:latin typeface="Cambria" panose="02040503050406030204" pitchFamily="18" charset="0"/>
              <a:ea typeface="+mn-ea"/>
              <a:cs typeface="+mn-cs"/>
            </a:rPr>
            <a:t>Ange hur lång den ekonomiska livslängden är för investeringen (10-15 år beroende på konstruktion och materialval). Den ekonomiska livslängden får inte vara längre än 15 år i kalkylen. </a:t>
          </a:r>
          <a:endParaRPr lang="sv-SE" sz="1100" i="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r>
            <a:rPr lang="sv-SE" sz="1100" b="1" baseline="0">
              <a:solidFill>
                <a:schemeClr val="tx1"/>
              </a:solidFill>
              <a:effectLst/>
              <a:latin typeface="Cambria" panose="02040503050406030204" pitchFamily="18" charset="0"/>
              <a:ea typeface="+mn-ea"/>
              <a:cs typeface="+mn-cs"/>
            </a:rPr>
            <a:t>Hur beräknas nettonuvärdet?</a:t>
          </a:r>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Beräkningen av investeringens nettonuvärde sker automatiskt när du fyllt i uppgifter om investeringsutgiften samt driftkalkyl för aktuell produktionsgren.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Nettonuvärdet är en samlad bedömning av investeringens lönsamhet under hela den ekonomiska livslängden. Nuvärdet tar hänsyn till pengarnas tidsvärde. (100 kr är värt mer idag än om till exempel två år.) Investeringen ska klara ett avkastningskrav (nominell kalkylränta) på 5 %. </a:t>
          </a:r>
        </a:p>
        <a:p>
          <a:pPr eaLnBrk="1" fontAlgn="auto" latinLnBrk="0" hangingPunct="1"/>
          <a:endParaRPr lang="sv-SE" sz="1100">
            <a:effectLst/>
            <a:latin typeface="Cambria" panose="02040503050406030204" pitchFamily="18" charset="0"/>
          </a:endParaRPr>
        </a:p>
        <a:p>
          <a:pPr eaLnBrk="1" fontAlgn="auto" latinLnBrk="0" hangingPunct="1"/>
          <a:r>
            <a:rPr lang="sv-SE" sz="1100" baseline="0">
              <a:solidFill>
                <a:schemeClr val="tx1"/>
              </a:solidFill>
              <a:effectLst/>
              <a:latin typeface="Cambria" panose="02040503050406030204" pitchFamily="18" charset="0"/>
              <a:ea typeface="+mn-ea"/>
              <a:cs typeface="+mn-cs"/>
            </a:rPr>
            <a:t>I kalkylen används driftnettot från driftskalkylen från år 1 (exklusive avskrivningar och ränta, eftersom nuvärdekalkylen redan tar hänsyn till avskrivningar och ränta). Driftkalkylen visar det ekonomiska utfallet år 1 med antagandet att investeringen är i full drift redan år 1, ä</a:t>
          </a:r>
          <a:r>
            <a:rPr lang="sv-SE" sz="1100" b="0" baseline="0">
              <a:solidFill>
                <a:schemeClr val="tx1"/>
              </a:solidFill>
              <a:effectLst/>
              <a:latin typeface="Cambria" panose="02040503050406030204" pitchFamily="18" charset="0"/>
              <a:ea typeface="+mn-ea"/>
              <a:cs typeface="+mn-cs"/>
            </a:rPr>
            <a:t>ven om det i praktiken tar längre tid att komma upp i full produktion. </a:t>
          </a:r>
          <a:r>
            <a:rPr lang="sv-SE" sz="1100">
              <a:solidFill>
                <a:schemeClr val="tx1"/>
              </a:solidFill>
              <a:effectLst/>
              <a:latin typeface="Cambria" panose="02040503050406030204" pitchFamily="18" charset="0"/>
              <a:ea typeface="+mn-ea"/>
              <a:cs typeface="+mn-cs"/>
            </a:rPr>
            <a:t>Detta är en förenkling för att inte behöva göra driftskalkyler för alla år under stallets ekonomiska livslängd. Driftskalkylen för år 1 med full drift används i kalkylen som ett uppskattat genomsnitt av alla år under den ekonomiska livslängden. Vid</a:t>
          </a:r>
          <a:r>
            <a:rPr lang="sv-SE" sz="1100" baseline="0">
              <a:solidFill>
                <a:schemeClr val="tx1"/>
              </a:solidFill>
              <a:effectLst/>
              <a:latin typeface="Cambria" panose="02040503050406030204" pitchFamily="18" charset="0"/>
              <a:ea typeface="+mn-ea"/>
              <a:cs typeface="+mn-cs"/>
            </a:rPr>
            <a:t> beräkningen av nuvärdet antas att driftnettot år 1 kommer att följa inflationen under den ekonomiska livslängden. Inflationen uppskattas till 1% per år. </a:t>
          </a:r>
        </a:p>
        <a:p>
          <a:pPr eaLnBrk="1" fontAlgn="auto" latinLnBrk="0" hangingPunct="1"/>
          <a:endParaRPr lang="sv-SE" sz="1100" baseline="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Driftskalkylen omfattar de huvudsakliga intäkter och kostnader som kan kopplas till stallet. </a:t>
          </a:r>
        </a:p>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r>
            <a:rPr lang="sv-SE" sz="1100">
              <a:solidFill>
                <a:schemeClr val="tx1"/>
              </a:solidFill>
              <a:effectLst/>
              <a:latin typeface="Cambria" panose="02040503050406030204" pitchFamily="18" charset="0"/>
              <a:ea typeface="+mn-ea"/>
              <a:cs typeface="+mn-cs"/>
            </a:rPr>
            <a:t> </a:t>
          </a:r>
          <a:endParaRPr lang="sv-SE" sz="1100">
            <a:effectLst/>
            <a:latin typeface="Cambria" panose="02040503050406030204" pitchFamily="18" charset="0"/>
          </a:endParaRPr>
        </a:p>
        <a:p>
          <a:r>
            <a:rPr lang="sv-SE" sz="1100" b="1" baseline="0">
              <a:solidFill>
                <a:schemeClr val="tx1"/>
              </a:solidFill>
              <a:effectLst/>
              <a:latin typeface="Cambria" panose="02040503050406030204" pitchFamily="18" charset="0"/>
              <a:ea typeface="+mn-ea"/>
              <a:cs typeface="+mn-cs"/>
            </a:rPr>
            <a:t>Hur tolkar du nettonuvärdet?</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minst 0 kr så klarar stallkonceptet avkastningskravet på 5% (nominellt).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större än 0 kr är avkastningen på investeringen större än 5%. </a:t>
          </a:r>
          <a:endParaRPr lang="sv-SE" sz="1100">
            <a:effectLst/>
            <a:latin typeface="Cambria" panose="02040503050406030204" pitchFamily="18" charset="0"/>
          </a:endParaRPr>
        </a:p>
        <a:p>
          <a:r>
            <a:rPr lang="sv-SE" sz="1100" b="0" baseline="0">
              <a:solidFill>
                <a:schemeClr val="tx1"/>
              </a:solidFill>
              <a:effectLst/>
              <a:latin typeface="Cambria" panose="02040503050406030204" pitchFamily="18" charset="0"/>
              <a:ea typeface="+mn-ea"/>
              <a:cs typeface="+mn-cs"/>
            </a:rPr>
            <a:t>Om nettonuvärdet är negativt så klarar inte stallkonceptet avkastningskravet på 5%.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u="sng" baseline="0">
              <a:solidFill>
                <a:schemeClr val="tx1"/>
              </a:solidFill>
              <a:effectLst/>
              <a:latin typeface="Cambria" panose="02040503050406030204" pitchFamily="18" charset="0"/>
              <a:ea typeface="+mn-ea"/>
              <a:cs typeface="+mn-cs"/>
            </a:rPr>
            <a:t>INVESTERINGSUTGIFT</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Enhet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I kolumnen anger du enheten för volymen av varje kalkylpost, till exempel: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st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meter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 m2</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Utgift</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Alla utgifter anges i svenska kronor (SEK) exklusive moms.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Eget arbete &amp; eget material </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Kom ihåg att även räkna med eventuellt eget arbete och eget material i den totala investeringsutgiften. Eget arbete ska värderas till minst 220 kr per timme. Eget material värderas till den utgift som hade betalats om materialet istället köps in.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Inredning, utrustning &amp; maskiner</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Precisera vilken inredning, utrustning och maskiner som ska finnas i stallet. </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Cambria" panose="02040503050406030204" pitchFamily="18" charset="0"/>
              <a:ea typeface="+mn-ea"/>
              <a:cs typeface="+mn-cs"/>
            </a:rPr>
            <a:t>Investeringsutgift för traktor, lastmaskin eller liknande mobil maskin som både används i stallet och för andra ändamål ska ingå i kalkylerna, men endast med den andel som de används i stallet. Maskiner som endast används för driften av stallet ska ingå i sin helhet (till exempel fodermaskiner och strömaskiner).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Här anger du räntan som uppstår under byggtiden. Du ska räkna med 5 % ränta per år på de belopp som ska betalas innan stallet är färdigt att börja användas. Gör en översiktlig sammanställning av när i tiden olika belopp av investeringsutgiften beräknas behöva betalas och beräkna räntan utifrån sammanställningen. Redovisa beräkningen i noten. </a:t>
          </a:r>
        </a:p>
        <a:p>
          <a:pPr marL="0" marR="0" indent="0" defTabSz="914400" eaLnBrk="1" fontAlgn="auto" latinLnBrk="0" hangingPunct="1">
            <a:lnSpc>
              <a:spcPct val="100000"/>
            </a:lnSpc>
            <a:spcBef>
              <a:spcPts val="0"/>
            </a:spcBef>
            <a:spcAft>
              <a:spcPts val="0"/>
            </a:spcAft>
            <a:buClrTx/>
            <a:buSzTx/>
            <a:buFontTx/>
            <a:buNone/>
            <a:tabLst/>
            <a:defRPr/>
          </a:pPr>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Investeringsstöd</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Stödet beräknas enligt schablon till 40% av investeringsutgiften, dock högst 1 200 000 kr.</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Investeringsutgift per djurplats</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Maximal investeringsutgift (efter avräknat investeringsstöd enligt schablon) framgår av uppdragsspecifikationen och är: </a:t>
          </a:r>
        </a:p>
        <a:p>
          <a:pPr lvl="0" hangingPunct="0"/>
          <a:r>
            <a:rPr lang="sv-SE" sz="1100">
              <a:solidFill>
                <a:schemeClr val="tx1"/>
              </a:solidFill>
              <a:effectLst/>
              <a:latin typeface="Cambria" panose="02040503050406030204" pitchFamily="18" charset="0"/>
              <a:ea typeface="+mn-ea"/>
              <a:cs typeface="+mn-cs"/>
            </a:rPr>
            <a:t>- 40 000 kr per suggplats</a:t>
          </a:r>
        </a:p>
        <a:p>
          <a:pPr lvl="0" hangingPunct="0"/>
          <a:r>
            <a:rPr lang="sv-SE" sz="1100">
              <a:solidFill>
                <a:schemeClr val="tx1"/>
              </a:solidFill>
              <a:effectLst/>
              <a:latin typeface="Cambria" panose="02040503050406030204" pitchFamily="18" charset="0"/>
              <a:ea typeface="+mn-ea"/>
              <a:cs typeface="+mn-cs"/>
            </a:rPr>
            <a:t>- 5 000 kr per slaktgrisplats</a:t>
          </a:r>
        </a:p>
        <a:p>
          <a:pPr lvl="0" hangingPunct="0"/>
          <a:r>
            <a:rPr lang="sv-SE" sz="1100">
              <a:solidFill>
                <a:schemeClr val="tx1"/>
              </a:solidFill>
              <a:effectLst/>
              <a:latin typeface="Cambria" panose="02040503050406030204" pitchFamily="18" charset="0"/>
              <a:ea typeface="+mn-ea"/>
              <a:cs typeface="+mn-cs"/>
            </a:rPr>
            <a:t>- 50 000 kr per koplats (inkl. sinkor &amp; kalvar upp till 3 mån)</a:t>
          </a:r>
        </a:p>
        <a:p>
          <a:pPr lvl="0" hangingPunct="0"/>
          <a:r>
            <a:rPr lang="sv-SE" sz="1100">
              <a:solidFill>
                <a:schemeClr val="tx1"/>
              </a:solidFill>
              <a:effectLst/>
              <a:latin typeface="Cambria" panose="02040503050406030204" pitchFamily="18" charset="0"/>
              <a:ea typeface="+mn-ea"/>
              <a:cs typeface="+mn-cs"/>
            </a:rPr>
            <a:t>- 3 000 kr per tacka</a:t>
          </a:r>
        </a:p>
        <a:p>
          <a:pPr lvl="0" hangingPunct="0"/>
          <a:r>
            <a:rPr lang="sv-SE" sz="1100">
              <a:solidFill>
                <a:schemeClr val="tx1"/>
              </a:solidFill>
              <a:effectLst/>
              <a:latin typeface="Cambria" panose="02040503050406030204" pitchFamily="18" charset="0"/>
              <a:ea typeface="+mn-ea"/>
              <a:cs typeface="+mn-cs"/>
            </a:rPr>
            <a:t>- 20 000 kr per dikoplats </a:t>
          </a:r>
        </a:p>
        <a:p>
          <a:pPr lvl="0" hangingPunct="0"/>
          <a:r>
            <a:rPr lang="sv-SE" sz="1100">
              <a:solidFill>
                <a:schemeClr val="tx1"/>
              </a:solidFill>
              <a:effectLst/>
              <a:latin typeface="Cambria" panose="02040503050406030204" pitchFamily="18" charset="0"/>
              <a:ea typeface="+mn-ea"/>
              <a:cs typeface="+mn-cs"/>
            </a:rPr>
            <a:t>- 25 000 kr per slaktungnötplats  </a:t>
          </a:r>
        </a:p>
        <a:p>
          <a:pPr marL="0" marR="0" indent="0" defTabSz="914400" eaLnBrk="1" fontAlgn="auto" latinLnBrk="0" hangingPunct="1">
            <a:lnSpc>
              <a:spcPct val="100000"/>
            </a:lnSpc>
            <a:spcBef>
              <a:spcPts val="0"/>
            </a:spcBef>
            <a:spcAft>
              <a:spcPts val="0"/>
            </a:spcAft>
            <a:buClrTx/>
            <a:buSzTx/>
            <a:buFontTx/>
            <a:buNone/>
            <a:tabLst/>
            <a:defRPr/>
          </a:pPr>
          <a:endParaRPr lang="sv-SE" sz="1100" b="0"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baseline="0">
              <a:solidFill>
                <a:schemeClr val="tx1"/>
              </a:solidFill>
              <a:effectLst/>
              <a:latin typeface="Cambria" panose="02040503050406030204" pitchFamily="18" charset="0"/>
              <a:ea typeface="+mn-ea"/>
              <a:cs typeface="+mn-cs"/>
            </a:rPr>
            <a:t>Utrymmen för visning</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Ange belopp för utrymmen som används särskilt för detta ändamål. Detta belopp ingår inte vid bedömning av investeringsutgift per djurplats eller vid beräkning av räntor och avskrivningar i driftskalkyl eller investeringskalkyl. Investeringsutgiften </a:t>
          </a:r>
          <a:r>
            <a:rPr lang="sv-SE" sz="1100" b="1" i="1" baseline="0">
              <a:solidFill>
                <a:schemeClr val="tx1"/>
              </a:solidFill>
              <a:effectLst/>
              <a:latin typeface="Cambria" panose="02040503050406030204" pitchFamily="18" charset="0"/>
              <a:ea typeface="+mn-ea"/>
              <a:cs typeface="+mn-cs"/>
            </a:rPr>
            <a:t>bör</a:t>
          </a:r>
          <a:r>
            <a:rPr lang="sv-SE" sz="1100" b="0" baseline="0">
              <a:solidFill>
                <a:schemeClr val="tx1"/>
              </a:solidFill>
              <a:effectLst/>
              <a:latin typeface="Cambria" panose="02040503050406030204" pitchFamily="18" charset="0"/>
              <a:ea typeface="+mn-ea"/>
              <a:cs typeface="+mn-cs"/>
            </a:rPr>
            <a:t> inte vara högre än 200 000 kr. </a:t>
          </a:r>
        </a:p>
        <a:p>
          <a:pPr marL="0" marR="0" indent="0" defTabSz="914400" eaLnBrk="1" fontAlgn="auto" latinLnBrk="0" hangingPunct="1">
            <a:lnSpc>
              <a:spcPct val="100000"/>
            </a:lnSpc>
            <a:spcBef>
              <a:spcPts val="0"/>
            </a:spcBef>
            <a:spcAft>
              <a:spcPts val="0"/>
            </a:spcAft>
            <a:buClrTx/>
            <a:buSzTx/>
            <a:buFontTx/>
            <a:buNone/>
            <a:tabLst/>
            <a:defRPr/>
          </a:pPr>
          <a:endParaRPr lang="sv-SE" sz="1100">
            <a:effectLst/>
            <a:latin typeface="Cambria" panose="02040503050406030204" pitchFamily="18" charset="0"/>
          </a:endParaRPr>
        </a:p>
      </xdr:txBody>
    </xdr:sp>
    <xdr:clientData/>
  </xdr:oneCellAnchor>
  <xdr:oneCellAnchor>
    <xdr:from>
      <xdr:col>3</xdr:col>
      <xdr:colOff>213360</xdr:colOff>
      <xdr:row>14</xdr:row>
      <xdr:rowOff>167640</xdr:rowOff>
    </xdr:from>
    <xdr:ext cx="2381249" cy="1257300"/>
    <xdr:sp macro="" textlink="">
      <xdr:nvSpPr>
        <xdr:cNvPr id="3" name="textruta 2"/>
        <xdr:cNvSpPr txBox="1"/>
      </xdr:nvSpPr>
      <xdr:spPr>
        <a:xfrm>
          <a:off x="4754880" y="286512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0</xdr:row>
      <xdr:rowOff>342899</xdr:rowOff>
    </xdr:from>
    <xdr:ext cx="7267575" cy="18602325"/>
    <xdr:sp macro="" textlink="">
      <xdr:nvSpPr>
        <xdr:cNvPr id="4" name="textruta 3"/>
        <xdr:cNvSpPr txBox="1"/>
      </xdr:nvSpPr>
      <xdr:spPr>
        <a:xfrm>
          <a:off x="8277225" y="342899"/>
          <a:ext cx="7267575" cy="18602325"/>
        </a:xfrm>
        <a:prstGeom prst="rect">
          <a:avLst/>
        </a:prstGeom>
        <a:solidFill>
          <a:schemeClr val="accent4">
            <a:lumMod val="40000"/>
            <a:lumOff val="60000"/>
          </a:schemeClr>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eaLnBrk="1" fontAlgn="auto" latinLnBrk="0" hangingPunct="1"/>
          <a:r>
            <a:rPr lang="sv-SE" sz="1600" b="1">
              <a:solidFill>
                <a:schemeClr val="tx1"/>
              </a:solidFill>
              <a:effectLst/>
              <a:latin typeface="Cambria" panose="02040503050406030204" pitchFamily="18" charset="0"/>
              <a:ea typeface="+mn-ea"/>
              <a:cs typeface="+mn-cs"/>
            </a:rPr>
            <a:t>Anvisningar Slaktungnöt</a:t>
          </a:r>
          <a:endParaRPr lang="sv-SE" sz="16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Vad ska jag räkna med i kalkylen</a:t>
          </a:r>
          <a:r>
            <a:rPr lang="sv-SE" sz="1100" b="1" baseline="0">
              <a:solidFill>
                <a:schemeClr val="tx1"/>
              </a:solidFill>
              <a:effectLst/>
              <a:latin typeface="Cambria" panose="02040503050406030204" pitchFamily="18" charset="0"/>
              <a:ea typeface="+mn-ea"/>
              <a:cs typeface="+mn-cs"/>
            </a:rPr>
            <a:t>?</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Driftkalkylen ska innehålla alla intäkter och kostnader som stallet medför under 12 månader. </a:t>
          </a:r>
          <a:r>
            <a:rPr lang="sv-SE" sz="1100">
              <a:solidFill>
                <a:schemeClr val="tx1"/>
              </a:solidFill>
              <a:effectLst/>
              <a:latin typeface="Cambria" panose="02040503050406030204" pitchFamily="18" charset="0"/>
              <a:ea typeface="+mn-ea"/>
              <a:cs typeface="+mn-cs"/>
            </a:rPr>
            <a:t>Av förenklingsskäl ingår inte riktigt alla tänkbara kostnader i kalkylen. Vinstmarginalen ska täcka till exempel uppstartskostnader innan stallet är i full drift, administration och andra gemensamma kostnader för företaget samt skatt och vinst. Det innebär att vinstmarginalen i företaget som helhet i praktiken kan skilja sig från vinstmarginalen för stallet. Kalkylen bygger också på att stödnivåerna är oförändrade under stallets ekonomiska livslängd, vilket också är en kalkylmässig förenkling som kan påverkar den verkliga vinstmarginalen. </a:t>
          </a:r>
          <a:endParaRPr lang="sv-SE">
            <a:effectLst/>
            <a:latin typeface="Cambria" panose="02040503050406030204" pitchFamily="18" charset="0"/>
          </a:endParaRPr>
        </a:p>
        <a:p>
          <a:pPr eaLnBrk="1" fontAlgn="auto" latinLnBrk="0" hangingPunct="1"/>
          <a:endParaRPr lang="sv-SE" sz="1100">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De intäkter och kostnader som tas upp i kalkylen för konceptet ska baseras på utfallet de 2–3 senaste åren i verksamheten som bedrivs av den jordbrukare som igår i utvecklingsgruppen, om inget annat framgår av anvisningarna i kalkylmallen. Om det finns skäl får andra värden användas. Det innebär till exempel att erfarenheter av nivåerna för foderpriser de senaste åren bör vara utgångspunkten i bedömningen av foderpriset i kalkylen. Om till exempel inköpta volymer ökar och det är rimligt att räkna med ett bättre pris på grund av större volymer så justeras värdet i kalkylen. Kalkylvärdena kan även justeras när andra förutsättningar förändras jämfört med förutsättningarna för värdena de senaste åren. </a:t>
          </a:r>
          <a:r>
            <a:rPr lang="sv-SE" sz="1100" i="1">
              <a:solidFill>
                <a:schemeClr val="tx1"/>
              </a:solidFill>
              <a:effectLst/>
              <a:latin typeface="Cambria" panose="02040503050406030204" pitchFamily="18" charset="0"/>
              <a:ea typeface="+mn-ea"/>
              <a:cs typeface="+mn-cs"/>
            </a:rPr>
            <a:t>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Full produktion från</a:t>
          </a:r>
          <a:r>
            <a:rPr lang="sv-SE" sz="1100" b="1" baseline="0">
              <a:solidFill>
                <a:schemeClr val="tx1"/>
              </a:solidFill>
              <a:effectLst/>
              <a:latin typeface="Cambria" panose="02040503050406030204" pitchFamily="18" charset="0"/>
              <a:ea typeface="+mn-ea"/>
              <a:cs typeface="+mn-cs"/>
            </a:rPr>
            <a:t> år 1</a:t>
          </a:r>
          <a:endParaRPr lang="sv-SE">
            <a:effectLst/>
            <a:latin typeface="Cambria" panose="02040503050406030204" pitchFamily="18" charset="0"/>
          </a:endParaRPr>
        </a:p>
        <a:p>
          <a:pPr eaLnBrk="1" fontAlgn="auto" latinLnBrk="0" hangingPunct="1"/>
          <a:r>
            <a:rPr lang="sv-SE" sz="1100" b="0">
              <a:solidFill>
                <a:schemeClr val="tx1"/>
              </a:solidFill>
              <a:effectLst/>
              <a:latin typeface="Cambria" panose="02040503050406030204" pitchFamily="18" charset="0"/>
              <a:ea typeface="+mn-ea"/>
              <a:cs typeface="+mn-cs"/>
            </a:rPr>
            <a:t>Kalkylen</a:t>
          </a:r>
          <a:r>
            <a:rPr lang="sv-SE" sz="1100" b="0" baseline="0">
              <a:solidFill>
                <a:schemeClr val="tx1"/>
              </a:solidFill>
              <a:effectLst/>
              <a:latin typeface="Cambria" panose="02040503050406030204" pitchFamily="18" charset="0"/>
              <a:ea typeface="+mn-ea"/>
              <a:cs typeface="+mn-cs"/>
            </a:rPr>
            <a:t> ska visa driften år 1 med full produktion. Även om det i praktiken tar längre tid att komma upp i full produktion, ska kalkylen göras med full produktion redan från år 1. </a:t>
          </a:r>
          <a:r>
            <a:rPr lang="sv-SE" sz="1100">
              <a:solidFill>
                <a:schemeClr val="tx1"/>
              </a:solidFill>
              <a:effectLst/>
              <a:latin typeface="Cambria" panose="02040503050406030204" pitchFamily="18" charset="0"/>
              <a:ea typeface="+mn-ea"/>
              <a:cs typeface="+mn-cs"/>
            </a:rPr>
            <a:t>Detta är en förenkling för att inte behöva göra driftkalkyler för alla år under stallets ekonomiska livslängd. Driftskalkylen för år 1 med full drift används i kalkylen som ett uppskattat genomsnitt av alla år under den ekonomiska livslängden. </a:t>
          </a:r>
          <a:endParaRPr lang="sv-SE">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ysClr val="windowText" lastClr="000000"/>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ysClr val="windowText" lastClr="000000"/>
              </a:solidFill>
              <a:effectLst/>
              <a:latin typeface="Cambria" panose="02040503050406030204" pitchFamily="18" charset="0"/>
              <a:ea typeface="+mn-ea"/>
              <a:cs typeface="+mn-cs"/>
            </a:rPr>
            <a:t>Får jag</a:t>
          </a:r>
          <a:r>
            <a:rPr lang="sv-SE" sz="1100" b="1" baseline="0">
              <a:solidFill>
                <a:sysClr val="windowText" lastClr="000000"/>
              </a:solidFill>
              <a:effectLst/>
              <a:latin typeface="Cambria" panose="02040503050406030204" pitchFamily="18" charset="0"/>
              <a:ea typeface="+mn-ea"/>
              <a:cs typeface="+mn-cs"/>
            </a:rPr>
            <a:t> ändra värden? </a:t>
          </a:r>
          <a:endParaRPr lang="sv-SE" sz="1100" b="1">
            <a:solidFill>
              <a:sysClr val="windowText" lastClr="000000"/>
            </a:solidFill>
            <a:effectLst/>
            <a:latin typeface="Cambria" panose="020405030504060302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Du</a:t>
          </a:r>
          <a:r>
            <a:rPr lang="sv-SE" sz="1100" b="0" baseline="0">
              <a:solidFill>
                <a:schemeClr val="tx1"/>
              </a:solidFill>
              <a:effectLst/>
              <a:latin typeface="Cambria" panose="02040503050406030204" pitchFamily="18" charset="0"/>
              <a:ea typeface="+mn-ea"/>
              <a:cs typeface="+mn-cs"/>
            </a:rPr>
            <a:t> får ändra alla värden och enheter i kalkylen utom de rutor som är gulmarkerade. </a:t>
          </a:r>
          <a:endParaRPr lang="sv-SE">
            <a:effectLst/>
            <a:latin typeface="Cambria" panose="02040503050406030204" pitchFamily="18" charset="0"/>
          </a:endParaRPr>
        </a:p>
        <a:p>
          <a:pPr eaLnBrk="1" fontAlgn="auto" latinLnBrk="0" hangingPunct="1"/>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Automatiska</a:t>
          </a:r>
          <a:r>
            <a:rPr lang="sv-SE" sz="1100" b="1" baseline="0">
              <a:solidFill>
                <a:schemeClr val="tx1"/>
              </a:solidFill>
              <a:effectLst/>
              <a:latin typeface="Cambria" panose="02040503050406030204" pitchFamily="18" charset="0"/>
              <a:ea typeface="+mn-ea"/>
              <a:cs typeface="+mn-cs"/>
            </a:rPr>
            <a:t> beräkningar</a:t>
          </a:r>
          <a:endParaRPr lang="sv-SE" sz="1100">
            <a:effectLst/>
            <a:latin typeface="Cambria" panose="02040503050406030204" pitchFamily="18" charset="0"/>
          </a:endParaRPr>
        </a:p>
        <a:p>
          <a:r>
            <a:rPr lang="sv-SE" sz="1100" b="0">
              <a:solidFill>
                <a:schemeClr val="tx1"/>
              </a:solidFill>
              <a:effectLst/>
              <a:latin typeface="Cambria" panose="02040503050406030204" pitchFamily="18" charset="0"/>
              <a:ea typeface="+mn-ea"/>
              <a:cs typeface="+mn-cs"/>
            </a:rPr>
            <a:t>Celler</a:t>
          </a:r>
          <a:r>
            <a:rPr lang="sv-SE" sz="1100" b="0" baseline="0">
              <a:solidFill>
                <a:schemeClr val="tx1"/>
              </a:solidFill>
              <a:effectLst/>
              <a:latin typeface="Cambria" panose="02040503050406030204" pitchFamily="18" charset="0"/>
              <a:ea typeface="+mn-ea"/>
              <a:cs typeface="+mn-cs"/>
            </a:rPr>
            <a:t> som är markerade med ljusgrön bakgrund beräknas automatiskt. </a:t>
          </a:r>
          <a:endParaRPr lang="sv-SE" sz="110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Lägg</a:t>
          </a:r>
          <a:r>
            <a:rPr lang="sv-SE" sz="1100" b="1" baseline="0">
              <a:solidFill>
                <a:schemeClr val="tx1"/>
              </a:solidFill>
              <a:effectLst/>
              <a:latin typeface="Cambria" panose="02040503050406030204" pitchFamily="18" charset="0"/>
              <a:ea typeface="+mn-ea"/>
              <a:cs typeface="+mn-cs"/>
            </a:rPr>
            <a:t> till poster vid behov</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någon kalkylpost saknas går det bra att lägga till rader. Försök att använda befintliga rubriker. I undantagsfall kan du lägga till nya rubriker. Det går bra att dela upp en befintlig kalkylpost i flera poster.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att alla summeringar/formler blivit rätt om du lägger till rader. </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Om en post inte är aktuell lämnar du raden tom. Ta inte bort raden. Skriv i not varför posten inte är aktuell. </a:t>
          </a:r>
          <a:endParaRPr lang="sv-SE" sz="1100">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Not</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Till varje kalkylpost ska du skriva en not. Noterna numreras löpande. Om du lägger till rader får du ändra numreringen på de rader som kommer efter. I noten förklarar du hur du har räknat fram beloppet och volymen. Noterna skriver du i en särskild bilaga som finns i rapportmallen.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Grundförutsättningar</a:t>
          </a:r>
        </a:p>
        <a:p>
          <a:pPr eaLnBrk="1" fontAlgn="auto" latinLnBrk="0" hangingPunct="1"/>
          <a:r>
            <a:rPr lang="sv-SE" sz="1100" b="0">
              <a:solidFill>
                <a:schemeClr val="tx1"/>
              </a:solidFill>
              <a:effectLst/>
              <a:latin typeface="Cambria" panose="02040503050406030204" pitchFamily="18" charset="0"/>
              <a:ea typeface="+mn-ea"/>
              <a:cs typeface="+mn-cs"/>
            </a:rPr>
            <a:t>Antal djurplatser - </a:t>
          </a:r>
          <a:r>
            <a:rPr lang="sv-SE" sz="1100" b="0" baseline="0">
              <a:solidFill>
                <a:schemeClr val="tx1"/>
              </a:solidFill>
              <a:effectLst/>
              <a:latin typeface="Cambria" panose="02040503050406030204" pitchFamily="18" charset="0"/>
              <a:ea typeface="+mn-ea"/>
              <a:cs typeface="+mn-cs"/>
            </a:rPr>
            <a:t>Uppgiften hämtas från fliken "Investeringskalkyl". </a:t>
          </a:r>
        </a:p>
        <a:p>
          <a:pPr eaLnBrk="1" fontAlgn="auto" latinLnBrk="0" hangingPunct="1"/>
          <a:r>
            <a:rPr lang="sv-SE" sz="1100" b="0">
              <a:solidFill>
                <a:schemeClr val="tx1"/>
              </a:solidFill>
              <a:effectLst/>
              <a:latin typeface="Cambria" panose="02040503050406030204" pitchFamily="18" charset="0"/>
              <a:ea typeface="+mn-ea"/>
              <a:cs typeface="+mn-cs"/>
            </a:rPr>
            <a:t>Ange kalvens ålder när den kommer till stallet</a:t>
          </a:r>
          <a:r>
            <a:rPr lang="sv-SE" sz="1100" b="0" baseline="0">
              <a:solidFill>
                <a:schemeClr val="tx1"/>
              </a:solidFill>
              <a:effectLst/>
              <a:latin typeface="Cambria" panose="02040503050406030204" pitchFamily="18" charset="0"/>
              <a:ea typeface="+mn-ea"/>
              <a:cs typeface="+mn-cs"/>
            </a:rPr>
            <a:t> och slaktålder.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Belopp &amp; valuta</a:t>
          </a:r>
          <a:endParaRPr lang="sv-SE" sz="1100">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Alla utgifter anges i svenska kronor (SEK) exklusive moms.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INTÄKTER</a:t>
          </a:r>
        </a:p>
        <a:p>
          <a:pPr eaLnBrk="1" fontAlgn="auto" latinLnBrk="0" hangingPunct="1"/>
          <a:r>
            <a:rPr lang="sv-SE" sz="1100" b="1" baseline="0">
              <a:solidFill>
                <a:schemeClr val="tx1"/>
              </a:solidFill>
              <a:effectLst/>
              <a:latin typeface="Cambria" panose="02040503050406030204" pitchFamily="18" charset="0"/>
              <a:ea typeface="+mn-ea"/>
              <a:cs typeface="+mn-cs"/>
            </a:rPr>
            <a:t>Kött</a:t>
          </a:r>
        </a:p>
        <a:p>
          <a:pPr eaLnBrk="1" fontAlgn="auto" latinLnBrk="0" hangingPunct="1"/>
          <a:r>
            <a:rPr lang="sv-SE" sz="1100" b="0" baseline="0">
              <a:solidFill>
                <a:schemeClr val="tx1"/>
              </a:solidFill>
              <a:effectLst/>
              <a:latin typeface="Cambria" panose="02040503050406030204" pitchFamily="18" charset="0"/>
              <a:ea typeface="+mn-ea"/>
              <a:cs typeface="+mn-cs"/>
            </a:rPr>
            <a:t>Ange genomsnittlig slaktvikt per djur. Räkna bort de djur som dör och inte skickas till slakt, när du räknar ut den genomsnittliga slaktvikten. </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Stöd</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Stöden beräknas till aktuell nivå för år 2017. (Detta är en förenkling i kalkylen, även om stödnivåerna förväntas förändras kommande år. Djuren ger upphov till vissa stöd beroende på var i landet produktionen finns. Räkna med de stöd som djuren är en direkt förutsättning för. </a:t>
          </a:r>
        </a:p>
        <a:p>
          <a:pPr eaLnBrk="1" fontAlgn="auto" latinLnBrk="0" hangingPunct="1"/>
          <a:endParaRPr lang="sv-SE">
            <a:effectLst/>
            <a:latin typeface="Cambria" panose="020405030504060302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i="0" baseline="0">
              <a:solidFill>
                <a:schemeClr val="tx1"/>
              </a:solidFill>
              <a:effectLst/>
              <a:latin typeface="Cambria" panose="02040503050406030204" pitchFamily="18" charset="0"/>
              <a:ea typeface="+mn-ea"/>
              <a:cs typeface="+mn-cs"/>
            </a:rPr>
            <a:t>Undvik dubbelberäkningar genom att djurrelaterade stöd räknas som intäkt i djurkalkylen samtidigt som de minskar kostnaden för egenproducerat foder. För stöd som integrerar djurhållning och odling ska du redovisa hur detta beaktats i noten till kalkylposten.</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Du får räkna med ersättning för att djuret håller betesmarkerna öppna. Detta beaktas genom att redovisa "netto bete" eller "skötselersättning" för djuren som betar. </a:t>
          </a:r>
          <a:r>
            <a:rPr lang="sv-SE" sz="1100" b="0" baseline="0">
              <a:solidFill>
                <a:schemeClr val="tx1"/>
              </a:solidFill>
              <a:effectLst/>
              <a:latin typeface="Cambria" panose="02040503050406030204" pitchFamily="18" charset="0"/>
              <a:ea typeface="+mn-ea"/>
              <a:cs typeface="+mn-cs"/>
            </a:rPr>
            <a:t>Om nettot är negativt skriver du 0 kr på intäktsraden och lägger istället till en ny rad under kostnader.</a:t>
          </a:r>
          <a:r>
            <a:rPr lang="sv-SE" sz="1100" b="0" i="0" baseline="0">
              <a:solidFill>
                <a:schemeClr val="tx1"/>
              </a:solidFill>
              <a:effectLst/>
              <a:latin typeface="Cambria" panose="02040503050406030204" pitchFamily="18" charset="0"/>
              <a:ea typeface="+mn-ea"/>
              <a:cs typeface="+mn-cs"/>
            </a:rPr>
            <a:t> Betesnettot redovisar du som en särskild kalkyl för företagets betesmarker och/eller via en ersättningsnivå för uthyrning av betesdjur i området.</a:t>
          </a:r>
        </a:p>
        <a:p>
          <a:pPr eaLnBrk="1" fontAlgn="auto" latinLnBrk="0" hangingPunct="1"/>
          <a:endParaRPr lang="sv-SE">
            <a:effectLst/>
            <a:latin typeface="Cambria" panose="02040503050406030204" pitchFamily="18" charset="0"/>
          </a:endParaRPr>
        </a:p>
        <a:p>
          <a:pPr eaLnBrk="1" fontAlgn="auto" latinLnBrk="0" hangingPunct="1"/>
          <a:r>
            <a:rPr lang="sv-SE" sz="1100" b="0" i="0" baseline="0">
              <a:solidFill>
                <a:schemeClr val="tx1"/>
              </a:solidFill>
              <a:effectLst/>
              <a:latin typeface="Cambria" panose="02040503050406030204" pitchFamily="18" charset="0"/>
              <a:ea typeface="+mn-ea"/>
              <a:cs typeface="+mn-cs"/>
            </a:rPr>
            <a:t>Observera att investeringsstödet beaktas i fliken investeringskalkyl.</a:t>
          </a:r>
          <a:endParaRPr lang="sv-SE">
            <a:effectLst/>
            <a:latin typeface="Cambria" panose="02040503050406030204" pitchFamily="18" charset="0"/>
          </a:endParaRP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Gödsel </a:t>
          </a:r>
        </a:p>
        <a:p>
          <a:pPr eaLnBrk="1" fontAlgn="auto" latinLnBrk="0" hangingPunct="1"/>
          <a:r>
            <a:rPr lang="sv-SE" sz="1100" b="0" baseline="0">
              <a:solidFill>
                <a:schemeClr val="tx1"/>
              </a:solidFill>
              <a:effectLst/>
              <a:latin typeface="Cambria" panose="02040503050406030204" pitchFamily="18" charset="0"/>
              <a:ea typeface="+mn-ea"/>
              <a:cs typeface="+mn-cs"/>
            </a:rPr>
            <a:t>Ange nettovärdet efter kostnader för spridning. </a:t>
          </a:r>
          <a:endParaRPr lang="sv-SE" sz="1100" b="0">
            <a:effectLst/>
            <a:latin typeface="Cambria" panose="020405030504060302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KOSTNADER</a:t>
          </a: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Kalv</a:t>
          </a:r>
        </a:p>
        <a:p>
          <a:pPr marL="0" marR="0" indent="0" defTabSz="914400" eaLnBrk="1" fontAlgn="auto" latinLnBrk="0" hangingPunct="1">
            <a:lnSpc>
              <a:spcPct val="100000"/>
            </a:lnSpc>
            <a:spcBef>
              <a:spcPts val="0"/>
            </a:spcBef>
            <a:spcAft>
              <a:spcPts val="0"/>
            </a:spcAft>
            <a:buClrTx/>
            <a:buSzTx/>
            <a:buFontTx/>
            <a:buNone/>
            <a:tabLst/>
            <a:defRPr/>
          </a:pPr>
          <a:r>
            <a:rPr lang="sv-SE" sz="1100" b="0">
              <a:solidFill>
                <a:schemeClr val="tx1"/>
              </a:solidFill>
              <a:effectLst/>
              <a:latin typeface="Cambria" panose="02040503050406030204" pitchFamily="18" charset="0"/>
              <a:ea typeface="+mn-ea"/>
              <a:cs typeface="+mn-cs"/>
            </a:rPr>
            <a:t>Här räknar</a:t>
          </a:r>
          <a:r>
            <a:rPr lang="sv-SE" sz="1100" b="0" baseline="0">
              <a:solidFill>
                <a:schemeClr val="tx1"/>
              </a:solidFill>
              <a:effectLst/>
              <a:latin typeface="Cambria" panose="02040503050406030204" pitchFamily="18" charset="0"/>
              <a:ea typeface="+mn-ea"/>
              <a:cs typeface="+mn-cs"/>
            </a:rPr>
            <a:t> du med värdet på kalvarna som sätts in i stallet, oavsett om de köps in eller kommer från den egna produktionen.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underhåll</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Underhållet anges antingen som en procentsats av den totala investeringsutgiften per djurplats, eller som en summa per år och djurplats. Ange det uppskattade genomsnittliga underhållet per år under investeringens </a:t>
          </a:r>
          <a:r>
            <a:rPr lang="sv-SE" sz="1100" b="1" i="1" baseline="0">
              <a:solidFill>
                <a:schemeClr val="tx1"/>
              </a:solidFill>
              <a:effectLst/>
              <a:latin typeface="Cambria" panose="02040503050406030204" pitchFamily="18" charset="0"/>
              <a:ea typeface="+mn-ea"/>
              <a:cs typeface="+mn-cs"/>
            </a:rPr>
            <a:t>ekonomiska</a:t>
          </a:r>
          <a:r>
            <a:rPr lang="sv-SE" sz="1100" b="0" baseline="0">
              <a:solidFill>
                <a:schemeClr val="tx1"/>
              </a:solidFill>
              <a:effectLst/>
              <a:latin typeface="Cambria" panose="02040503050406030204" pitchFamily="18" charset="0"/>
              <a:ea typeface="+mn-ea"/>
              <a:cs typeface="+mn-cs"/>
            </a:rPr>
            <a:t> livslängd. Kom ihåg att räkna med underhåll och utbyte av utslitna byggnadsdelar och inventarier som sker vid enstaka tillfällen. </a:t>
          </a:r>
          <a:endParaRPr lang="sv-SE" sz="1100" b="0">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b="1">
            <a:solidFill>
              <a:schemeClr val="tx1"/>
            </a:solidFill>
            <a:effectLst/>
            <a:latin typeface="Cambria" panose="020405030504060302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sv-SE" sz="1100" b="1">
              <a:solidFill>
                <a:schemeClr val="tx1"/>
              </a:solidFill>
              <a:effectLst/>
              <a:latin typeface="Cambria" panose="02040503050406030204" pitchFamily="18" charset="0"/>
              <a:ea typeface="+mn-ea"/>
              <a:cs typeface="+mn-cs"/>
            </a:rPr>
            <a:t>Byggnader,</a:t>
          </a:r>
          <a:r>
            <a:rPr lang="sv-SE" sz="1100" b="1" baseline="0">
              <a:solidFill>
                <a:schemeClr val="tx1"/>
              </a:solidFill>
              <a:effectLst/>
              <a:latin typeface="Cambria" panose="02040503050406030204" pitchFamily="18" charset="0"/>
              <a:ea typeface="+mn-ea"/>
              <a:cs typeface="+mn-cs"/>
            </a:rPr>
            <a:t> avskrivningar + ränta</a:t>
          </a:r>
        </a:p>
        <a:p>
          <a:pPr marL="0" marR="0" indent="0" defTabSz="914400" eaLnBrk="1" fontAlgn="auto" latinLnBrk="0" hangingPunct="1">
            <a:lnSpc>
              <a:spcPct val="100000"/>
            </a:lnSpc>
            <a:spcBef>
              <a:spcPts val="0"/>
            </a:spcBef>
            <a:spcAft>
              <a:spcPts val="0"/>
            </a:spcAft>
            <a:buClrTx/>
            <a:buSzTx/>
            <a:buFontTx/>
            <a:buNone/>
            <a:tabLst/>
            <a:defRPr/>
          </a:pPr>
          <a:r>
            <a:rPr lang="sv-SE" sz="1100" b="0" baseline="0">
              <a:solidFill>
                <a:schemeClr val="tx1"/>
              </a:solidFill>
              <a:effectLst/>
              <a:latin typeface="Cambria" panose="02040503050406030204" pitchFamily="18" charset="0"/>
              <a:ea typeface="+mn-ea"/>
              <a:cs typeface="+mn-cs"/>
            </a:rPr>
            <a:t>Denna post beräknas automatiskt när du har fyllt i fliken "Investeringskalkyl". Avskrivningar och ränta beräknas som en annuitet, det vill säga summan av avskrivningar och ränta är lika stor varje år under den ekonomiska livslängden (nominellt konstanta). Räntan är 5 % och räknas på hela investeringsbeloppet, oavsett hur investeringen finansieras. </a:t>
          </a: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a:solidFill>
                <a:schemeClr val="tx1"/>
              </a:solidFill>
              <a:effectLst/>
              <a:latin typeface="Cambria" panose="02040503050406030204" pitchFamily="18" charset="0"/>
              <a:ea typeface="+mn-ea"/>
              <a:cs typeface="+mn-cs"/>
            </a:rPr>
            <a:t>Ränta</a:t>
          </a:r>
          <a:r>
            <a:rPr lang="sv-SE" sz="1100" b="1" baseline="0">
              <a:solidFill>
                <a:schemeClr val="tx1"/>
              </a:solidFill>
              <a:effectLst/>
              <a:latin typeface="Cambria" panose="02040503050406030204" pitchFamily="18" charset="0"/>
              <a:ea typeface="+mn-ea"/>
              <a:cs typeface="+mn-cs"/>
            </a:rPr>
            <a:t> rörelsekapital</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Bindningen av rörelsekapital räknas med en schablon på alla kostnadsposter i kalkylen (förutom de poster som är med i beräkningen av djurkapital). Schablonen innebär att kapitalbindningen sker successivt i jämn takt för alla kostnadser och att de i genomsnitt betalas i mitten av året. Intäkterna antas i genomsnitt betalas vid årets slut. Räntan är 5 %. </a:t>
          </a:r>
          <a:endParaRPr lang="sv-SE">
            <a:effectLst/>
            <a:latin typeface="Cambria" panose="02040503050406030204" pitchFamily="18" charset="0"/>
          </a:endParaRPr>
        </a:p>
        <a:p>
          <a:pPr eaLnBrk="1" fontAlgn="auto" latinLnBrk="0" hangingPunct="1"/>
          <a:endParaRPr lang="sv-SE" sz="1100" b="1" baseline="0">
            <a:solidFill>
              <a:schemeClr val="tx1"/>
            </a:solidFill>
            <a:effectLst/>
            <a:latin typeface="Cambria" panose="02040503050406030204" pitchFamily="18" charset="0"/>
            <a:ea typeface="+mn-ea"/>
            <a:cs typeface="+mn-cs"/>
          </a:endParaRPr>
        </a:p>
        <a:p>
          <a:pPr eaLnBrk="1" fontAlgn="auto" latinLnBrk="0" hangingPunct="1"/>
          <a:r>
            <a:rPr lang="sv-SE" sz="1100" b="1" baseline="0">
              <a:solidFill>
                <a:schemeClr val="tx1"/>
              </a:solidFill>
              <a:effectLst/>
              <a:latin typeface="Cambria" panose="02040503050406030204" pitchFamily="18" charset="0"/>
              <a:ea typeface="+mn-ea"/>
              <a:cs typeface="+mn-cs"/>
            </a:rPr>
            <a:t>Arbete</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räkna med kostnad för försäkringar och utbildning av personal. </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Kom ihåg att även räkna med eget arbete. All arbetsid (inklusive eget arbete värderas till </a:t>
          </a:r>
          <a:r>
            <a:rPr lang="sv-SE" sz="1100" b="0" u="sng" baseline="0">
              <a:solidFill>
                <a:schemeClr val="tx1"/>
              </a:solidFill>
              <a:effectLst/>
              <a:latin typeface="Cambria" panose="02040503050406030204" pitchFamily="18" charset="0"/>
              <a:ea typeface="+mn-ea"/>
              <a:cs typeface="+mn-cs"/>
            </a:rPr>
            <a:t>minst</a:t>
          </a:r>
          <a:r>
            <a:rPr lang="sv-SE" sz="1100" b="0" baseline="0">
              <a:solidFill>
                <a:schemeClr val="tx1"/>
              </a:solidFill>
              <a:effectLst/>
              <a:latin typeface="Cambria" panose="02040503050406030204" pitchFamily="18" charset="0"/>
              <a:ea typeface="+mn-ea"/>
              <a:cs typeface="+mn-cs"/>
            </a:rPr>
            <a:t> 220 kr per timme).</a:t>
          </a:r>
        </a:p>
        <a:p>
          <a:pPr eaLnBrk="1" fontAlgn="auto" latinLnBrk="0" hangingPunct="1"/>
          <a:endParaRPr lang="sv-SE" sz="1100" b="0" baseline="0">
            <a:solidFill>
              <a:schemeClr val="tx1"/>
            </a:solidFill>
            <a:effectLst/>
            <a:latin typeface="Cambria" panose="02040503050406030204" pitchFamily="18" charset="0"/>
            <a:ea typeface="+mn-ea"/>
            <a:cs typeface="+mn-cs"/>
          </a:endParaRPr>
        </a:p>
        <a:p>
          <a:pPr eaLnBrk="1" fontAlgn="auto" latinLnBrk="0" hangingPunct="1"/>
          <a:endParaRPr lang="sv-SE">
            <a:effectLst/>
            <a:latin typeface="Cambria" panose="02040503050406030204" pitchFamily="18" charset="0"/>
          </a:endParaRPr>
        </a:p>
        <a:p>
          <a:pPr eaLnBrk="1" fontAlgn="auto" latinLnBrk="0" hangingPunct="1"/>
          <a:r>
            <a:rPr lang="sv-SE" sz="1100" b="1" baseline="0">
              <a:solidFill>
                <a:schemeClr val="tx1"/>
              </a:solidFill>
              <a:effectLst/>
              <a:latin typeface="Cambria" panose="02040503050406030204" pitchFamily="18" charset="0"/>
              <a:ea typeface="+mn-ea"/>
              <a:cs typeface="+mn-cs"/>
            </a:rPr>
            <a:t>Kontrollera beräkningarna!</a:t>
          </a:r>
          <a:endParaRPr lang="sv-SE">
            <a:effectLst/>
            <a:latin typeface="Cambria" panose="02040503050406030204" pitchFamily="18" charset="0"/>
          </a:endParaRPr>
        </a:p>
        <a:p>
          <a:pPr eaLnBrk="1" fontAlgn="auto" latinLnBrk="0" hangingPunct="1"/>
          <a:r>
            <a:rPr lang="sv-SE" sz="1100" b="0" baseline="0">
              <a:solidFill>
                <a:schemeClr val="tx1"/>
              </a:solidFill>
              <a:effectLst/>
              <a:latin typeface="Cambria" panose="02040503050406030204" pitchFamily="18" charset="0"/>
              <a:ea typeface="+mn-ea"/>
              <a:cs typeface="+mn-cs"/>
            </a:rPr>
            <a:t>Kontrollera så att alla beräkningar och summeringar är rätt innan du färdigställer kalkylen. </a:t>
          </a:r>
          <a:endParaRPr lang="sv-SE">
            <a:effectLst/>
            <a:latin typeface="Cambria" panose="02040503050406030204" pitchFamily="18" charset="0"/>
          </a:endParaRPr>
        </a:p>
        <a:p>
          <a:pPr eaLnBrk="1" fontAlgn="auto" latinLnBrk="0" hangingPunct="1"/>
          <a:endParaRPr lang="sv-SE">
            <a:effectLst/>
            <a:latin typeface="Cambria" panose="02040503050406030204" pitchFamily="18" charset="0"/>
          </a:endParaRPr>
        </a:p>
      </xdr:txBody>
    </xdr:sp>
    <xdr:clientData/>
  </xdr:oneCellAnchor>
  <xdr:oneCellAnchor>
    <xdr:from>
      <xdr:col>4</xdr:col>
      <xdr:colOff>0</xdr:colOff>
      <xdr:row>2</xdr:row>
      <xdr:rowOff>0</xdr:rowOff>
    </xdr:from>
    <xdr:ext cx="2381249" cy="1257300"/>
    <xdr:sp macro="" textlink="">
      <xdr:nvSpPr>
        <xdr:cNvPr id="3" name="textruta 2"/>
        <xdr:cNvSpPr txBox="1"/>
      </xdr:nvSpPr>
      <xdr:spPr>
        <a:xfrm>
          <a:off x="4160520" y="533400"/>
          <a:ext cx="2381249" cy="1257300"/>
        </a:xfrm>
        <a:prstGeom prst="rect">
          <a:avLst/>
        </a:prstGeom>
        <a:solidFill>
          <a:srgbClr val="FFFF00"/>
        </a:solidFill>
        <a:ln w="158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sv-SE" sz="1600" b="1">
              <a:solidFill>
                <a:schemeClr val="tx1"/>
              </a:solidFill>
              <a:effectLst/>
              <a:latin typeface="Cambria" panose="02040503050406030204" pitchFamily="18" charset="0"/>
              <a:ea typeface="+mn-ea"/>
              <a:cs typeface="+mn-cs"/>
            </a:rPr>
            <a:t>Mer information</a:t>
          </a:r>
        </a:p>
        <a:p>
          <a:pPr eaLnBrk="1" fontAlgn="auto" latinLnBrk="0" hangingPunct="1"/>
          <a:endParaRPr lang="sv-SE" sz="900" b="1">
            <a:solidFill>
              <a:schemeClr val="tx1"/>
            </a:solidFill>
            <a:effectLst/>
            <a:latin typeface="Cambria" panose="02040503050406030204" pitchFamily="18" charset="0"/>
            <a:ea typeface="+mn-ea"/>
            <a:cs typeface="+mn-cs"/>
          </a:endParaRPr>
        </a:p>
        <a:p>
          <a:pPr eaLnBrk="1" fontAlgn="auto" latinLnBrk="0" hangingPunct="1"/>
          <a:r>
            <a:rPr lang="sv-SE" sz="1100">
              <a:solidFill>
                <a:schemeClr val="tx1"/>
              </a:solidFill>
              <a:effectLst/>
              <a:latin typeface="Cambria" panose="02040503050406030204" pitchFamily="18" charset="0"/>
              <a:ea typeface="+mn-ea"/>
              <a:cs typeface="+mn-cs"/>
            </a:rPr>
            <a:t>I rapporten som beskriver</a:t>
          </a:r>
          <a:r>
            <a:rPr lang="sv-SE" sz="1100" baseline="0">
              <a:solidFill>
                <a:schemeClr val="tx1"/>
              </a:solidFill>
              <a:effectLst/>
              <a:latin typeface="Cambria" panose="02040503050406030204" pitchFamily="18" charset="0"/>
              <a:ea typeface="+mn-ea"/>
              <a:cs typeface="+mn-cs"/>
            </a:rPr>
            <a:t> stallet finns noter till posterna i kalkylen. Där finns mer information om vad som ingår i varje post. </a:t>
          </a:r>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7" sqref="N17"/>
    </sheetView>
  </sheetViews>
  <sheetFormatPr defaultRowHeight="14.4" x14ac:dyDescent="0.3"/>
  <sheetData>
    <row r="1" spans="1:1" ht="27.6" x14ac:dyDescent="0.45">
      <c r="A1" s="2" t="s">
        <v>32</v>
      </c>
    </row>
    <row r="2" spans="1:1" x14ac:dyDescent="0.3">
      <c r="A2"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80"/>
  <sheetViews>
    <sheetView tabSelected="1" workbookViewId="0">
      <selection activeCell="E22" sqref="E22"/>
    </sheetView>
  </sheetViews>
  <sheetFormatPr defaultColWidth="9.109375" defaultRowHeight="13.8" x14ac:dyDescent="0.25"/>
  <cols>
    <col min="1" max="1" width="38.44140625" style="3" customWidth="1"/>
    <col min="2" max="2" width="16.21875" style="3" customWidth="1"/>
    <col min="3" max="3" width="11.5546875" style="3" customWidth="1"/>
    <col min="4" max="4" width="6.5546875" style="3" customWidth="1"/>
    <col min="5" max="5" width="14" style="3" bestFit="1" customWidth="1"/>
    <col min="6" max="6" width="16.33203125" style="3" bestFit="1" customWidth="1"/>
    <col min="7" max="16384" width="9.109375" style="3"/>
  </cols>
  <sheetData>
    <row r="1" spans="1:7" ht="27.6" x14ac:dyDescent="0.45">
      <c r="A1" s="2" t="s">
        <v>85</v>
      </c>
    </row>
    <row r="2" spans="1:7" ht="17.399999999999999" x14ac:dyDescent="0.3">
      <c r="A2" s="91" t="s">
        <v>137</v>
      </c>
    </row>
    <row r="3" spans="1:7" ht="14.4" thickBot="1" x14ac:dyDescent="0.3">
      <c r="A3" s="4"/>
    </row>
    <row r="4" spans="1:7" x14ac:dyDescent="0.25">
      <c r="A4" s="5" t="s">
        <v>29</v>
      </c>
      <c r="B4" s="6"/>
      <c r="C4" s="7"/>
      <c r="D4" s="8"/>
      <c r="F4" s="9"/>
      <c r="G4" s="9"/>
    </row>
    <row r="5" spans="1:7" x14ac:dyDescent="0.25">
      <c r="A5" s="80" t="s">
        <v>31</v>
      </c>
      <c r="B5" s="81" t="s">
        <v>30</v>
      </c>
      <c r="C5" s="81"/>
      <c r="D5" s="82"/>
      <c r="F5" s="9"/>
      <c r="G5" s="9"/>
    </row>
    <row r="6" spans="1:7" x14ac:dyDescent="0.25">
      <c r="A6" s="103" t="s">
        <v>131</v>
      </c>
      <c r="B6" s="104" t="s">
        <v>132</v>
      </c>
      <c r="C6" s="105"/>
      <c r="D6" s="106"/>
      <c r="E6" s="9"/>
      <c r="F6" s="11"/>
      <c r="G6" s="9"/>
    </row>
    <row r="7" spans="1:7" x14ac:dyDescent="0.25">
      <c r="A7" s="103" t="s">
        <v>177</v>
      </c>
      <c r="B7" s="104" t="s">
        <v>132</v>
      </c>
      <c r="C7" s="105"/>
      <c r="D7" s="106"/>
      <c r="E7" s="9"/>
      <c r="F7" s="11"/>
      <c r="G7" s="9"/>
    </row>
    <row r="8" spans="1:7" x14ac:dyDescent="0.25">
      <c r="A8" s="195" t="s">
        <v>135</v>
      </c>
      <c r="B8" s="195" t="s">
        <v>136</v>
      </c>
      <c r="C8" s="105"/>
      <c r="D8" s="106"/>
      <c r="E8" s="9"/>
      <c r="F8" s="11"/>
      <c r="G8" s="9"/>
    </row>
    <row r="9" spans="1:7" ht="14.25" customHeight="1" x14ac:dyDescent="0.25">
      <c r="A9" s="103" t="s">
        <v>133</v>
      </c>
      <c r="B9" s="104" t="s">
        <v>134</v>
      </c>
      <c r="C9" s="105"/>
      <c r="D9" s="106"/>
      <c r="E9" s="9"/>
      <c r="F9" s="11"/>
      <c r="G9" s="9"/>
    </row>
    <row r="10" spans="1:7" ht="14.4" thickBot="1" x14ac:dyDescent="0.3">
      <c r="A10" s="107"/>
      <c r="B10" s="108"/>
      <c r="C10" s="108"/>
      <c r="D10" s="109"/>
      <c r="E10" s="13"/>
      <c r="F10" s="13"/>
      <c r="G10" s="13"/>
    </row>
    <row r="11" spans="1:7" x14ac:dyDescent="0.25">
      <c r="A11" s="4"/>
    </row>
    <row r="12" spans="1:7" ht="14.4" thickBot="1" x14ac:dyDescent="0.3">
      <c r="A12" s="55"/>
      <c r="B12" s="54"/>
      <c r="C12" s="55"/>
      <c r="D12" s="55"/>
    </row>
    <row r="13" spans="1:7" x14ac:dyDescent="0.25">
      <c r="A13" s="77" t="s">
        <v>91</v>
      </c>
      <c r="B13" s="78" t="s">
        <v>86</v>
      </c>
      <c r="C13" s="79" t="s">
        <v>26</v>
      </c>
      <c r="D13" s="56"/>
    </row>
    <row r="14" spans="1:7" x14ac:dyDescent="0.25">
      <c r="A14" s="60" t="s">
        <v>27</v>
      </c>
      <c r="B14" s="110">
        <v>640</v>
      </c>
      <c r="C14" s="186" t="s">
        <v>37</v>
      </c>
      <c r="D14" s="9" t="s">
        <v>114</v>
      </c>
    </row>
    <row r="15" spans="1:7" x14ac:dyDescent="0.25">
      <c r="A15" s="14" t="s">
        <v>87</v>
      </c>
      <c r="B15" s="111">
        <v>3093</v>
      </c>
      <c r="C15" s="12" t="s">
        <v>1</v>
      </c>
    </row>
    <row r="16" spans="1:7" ht="28.5" customHeight="1" x14ac:dyDescent="0.25">
      <c r="A16" s="10" t="s">
        <v>88</v>
      </c>
      <c r="B16" s="111">
        <v>118</v>
      </c>
      <c r="C16" s="12" t="s">
        <v>1</v>
      </c>
      <c r="D16" s="9"/>
    </row>
    <row r="17" spans="1:6" x14ac:dyDescent="0.25">
      <c r="A17" s="15" t="s">
        <v>89</v>
      </c>
      <c r="B17" s="112">
        <v>15.3</v>
      </c>
      <c r="C17" s="16" t="s">
        <v>1</v>
      </c>
      <c r="D17" s="9"/>
    </row>
    <row r="18" spans="1:6" ht="14.4" thickBot="1" x14ac:dyDescent="0.3">
      <c r="A18" s="20" t="s">
        <v>0</v>
      </c>
      <c r="B18" s="102">
        <f>SUM(B15:B16)</f>
        <v>3211</v>
      </c>
      <c r="C18" s="67" t="s">
        <v>1</v>
      </c>
      <c r="D18" s="13"/>
      <c r="E18" s="13"/>
      <c r="F18" s="13"/>
    </row>
    <row r="19" spans="1:6" x14ac:dyDescent="0.25">
      <c r="A19" s="77" t="s">
        <v>85</v>
      </c>
      <c r="B19" s="78" t="s">
        <v>86</v>
      </c>
      <c r="C19" s="79" t="s">
        <v>26</v>
      </c>
      <c r="D19" s="56"/>
    </row>
    <row r="20" spans="1:6" ht="27.6" x14ac:dyDescent="0.25">
      <c r="A20" s="60" t="s">
        <v>106</v>
      </c>
      <c r="B20" s="197">
        <f>Investeringskalkyl!F71</f>
        <v>17384315.157333333</v>
      </c>
      <c r="C20" s="61" t="s">
        <v>40</v>
      </c>
      <c r="D20" s="56"/>
    </row>
    <row r="21" spans="1:6" x14ac:dyDescent="0.25">
      <c r="A21" s="60" t="s">
        <v>108</v>
      </c>
      <c r="B21" s="198">
        <f>IF(Investeringskalkyl!$C$14="suggor",#REF!)+IF(Investeringskalkyl!$C$14="slaktgrisar",#REF!)+IF(Investeringskalkyl!$C$14="tackor",#REF!)+IF(Investeringskalkyl!$C$14="dikor",#REF!)+IF(Investeringskalkyl!$C$14="slaktungnöt",'Driftkalkyl - Slaktungnöt'!$B$11)+IF(Investeringskalkyl!$C$14="mjölkkor",#REF!)</f>
        <v>779430.32772149262</v>
      </c>
      <c r="C21" s="61" t="s">
        <v>69</v>
      </c>
      <c r="D21" s="56"/>
      <c r="E21" s="89"/>
      <c r="F21" s="90"/>
    </row>
    <row r="22" spans="1:6" ht="27.6" x14ac:dyDescent="0.25">
      <c r="A22" s="60" t="s">
        <v>109</v>
      </c>
      <c r="B22" s="198">
        <f>$B$21+(IF(Investeringskalkyl!$C$14="suggor",#REF!)+IF(Investeringskalkyl!$C$14="slaktgrisar",#REF!)+IF(Investeringskalkyl!$C$14="tackor",#REF!)+IF(Investeringskalkyl!$C$14="dikor",#REF!)+IF(Investeringskalkyl!$C$14="slaktungnöt",'Driftkalkyl - Slaktungnöt'!$G$54)+IF(Investeringskalkyl!$C$14="mjölkkor",#REF!))</f>
        <v>2454275.018499047</v>
      </c>
      <c r="C22" s="61" t="s">
        <v>69</v>
      </c>
      <c r="D22" s="56"/>
    </row>
    <row r="23" spans="1:6" ht="27.6" x14ac:dyDescent="0.25">
      <c r="A23" s="60" t="s">
        <v>72</v>
      </c>
      <c r="B23" s="229">
        <v>0.05</v>
      </c>
      <c r="C23" s="61"/>
      <c r="D23" s="56"/>
    </row>
    <row r="24" spans="1:6" x14ac:dyDescent="0.25">
      <c r="A24" s="60" t="s">
        <v>73</v>
      </c>
      <c r="B24" s="229">
        <v>0.01</v>
      </c>
      <c r="C24" s="61" t="s">
        <v>74</v>
      </c>
      <c r="D24" s="56"/>
    </row>
    <row r="25" spans="1:6" ht="23.4" x14ac:dyDescent="0.45">
      <c r="A25" s="60" t="s">
        <v>75</v>
      </c>
      <c r="B25" s="92">
        <f>(1+$B$23)/(1+$B$24)-1</f>
        <v>3.9603960396039639E-2</v>
      </c>
      <c r="C25" s="61"/>
      <c r="D25" s="56"/>
      <c r="F25" s="208"/>
    </row>
    <row r="26" spans="1:6" x14ac:dyDescent="0.25">
      <c r="A26" s="60" t="s">
        <v>67</v>
      </c>
      <c r="B26" s="65">
        <v>15</v>
      </c>
      <c r="C26" s="61" t="s">
        <v>68</v>
      </c>
      <c r="D26" s="56"/>
    </row>
    <row r="27" spans="1:6" ht="27.6" x14ac:dyDescent="0.25">
      <c r="A27" s="60" t="s">
        <v>127</v>
      </c>
      <c r="B27" s="100">
        <f>($B$22*((1-(1+$B$25)^(-$B$26))/$B$25))</f>
        <v>27363302.614492357</v>
      </c>
      <c r="C27" s="61" t="s">
        <v>69</v>
      </c>
      <c r="D27" s="56"/>
    </row>
    <row r="28" spans="1:6" ht="14.4" thickBot="1" x14ac:dyDescent="0.3">
      <c r="A28" s="68" t="s">
        <v>104</v>
      </c>
      <c r="B28" s="101">
        <f>-$B$20+($B$22*((1-(1+$B$25)^(-$B$26))/$B$25))</f>
        <v>9978987.4571590237</v>
      </c>
      <c r="C28" s="69" t="s">
        <v>40</v>
      </c>
      <c r="D28" s="56"/>
    </row>
    <row r="29" spans="1:6" x14ac:dyDescent="0.25">
      <c r="A29" s="66"/>
      <c r="B29" s="88"/>
      <c r="C29" s="63"/>
      <c r="D29" s="56"/>
    </row>
    <row r="30" spans="1:6" ht="14.4" thickBot="1" x14ac:dyDescent="0.3">
      <c r="A30" s="66"/>
      <c r="B30" s="66"/>
      <c r="C30" s="63"/>
      <c r="D30" s="56"/>
    </row>
    <row r="31" spans="1:6" ht="15" x14ac:dyDescent="0.25">
      <c r="A31" s="74" t="s">
        <v>90</v>
      </c>
      <c r="B31" s="75"/>
      <c r="C31" s="75"/>
      <c r="D31" s="75"/>
      <c r="E31" s="75"/>
      <c r="F31" s="76"/>
    </row>
    <row r="32" spans="1:6" s="17" customFormat="1" ht="15" x14ac:dyDescent="0.25">
      <c r="A32" s="70" t="s">
        <v>2</v>
      </c>
      <c r="B32" s="71" t="s">
        <v>6</v>
      </c>
      <c r="C32" s="72" t="s">
        <v>5</v>
      </c>
      <c r="D32" s="72" t="s">
        <v>26</v>
      </c>
      <c r="E32" s="72" t="s">
        <v>4</v>
      </c>
      <c r="F32" s="73" t="s">
        <v>3</v>
      </c>
    </row>
    <row r="33" spans="1:6" x14ac:dyDescent="0.25">
      <c r="A33" s="18" t="s">
        <v>7</v>
      </c>
      <c r="B33" s="113"/>
      <c r="C33" s="114"/>
      <c r="D33" s="114"/>
      <c r="E33" s="115"/>
      <c r="F33" s="84"/>
    </row>
    <row r="34" spans="1:6" x14ac:dyDescent="0.25">
      <c r="A34" s="14" t="s">
        <v>19</v>
      </c>
      <c r="B34" s="113">
        <v>1</v>
      </c>
      <c r="C34" s="114">
        <v>3211</v>
      </c>
      <c r="D34" s="114" t="s">
        <v>1</v>
      </c>
      <c r="E34" s="227">
        <v>400</v>
      </c>
      <c r="F34" s="93">
        <f t="shared" ref="F34:F57" si="0">C34*E34</f>
        <v>1284400</v>
      </c>
    </row>
    <row r="35" spans="1:6" x14ac:dyDescent="0.25">
      <c r="A35" s="14" t="s">
        <v>20</v>
      </c>
      <c r="B35" s="113">
        <v>2</v>
      </c>
      <c r="C35" s="114">
        <v>2200</v>
      </c>
      <c r="D35" s="114" t="s">
        <v>1</v>
      </c>
      <c r="E35" s="115">
        <v>250</v>
      </c>
      <c r="F35" s="93">
        <f t="shared" si="0"/>
        <v>550000</v>
      </c>
    </row>
    <row r="36" spans="1:6" x14ac:dyDescent="0.25">
      <c r="A36" s="20" t="s">
        <v>22</v>
      </c>
      <c r="B36" s="116"/>
      <c r="C36" s="117"/>
      <c r="D36" s="117"/>
      <c r="E36" s="118"/>
      <c r="F36" s="94">
        <f>SUM(F34:F35)</f>
        <v>1834400</v>
      </c>
    </row>
    <row r="37" spans="1:6" x14ac:dyDescent="0.25">
      <c r="A37" s="24" t="s">
        <v>8</v>
      </c>
      <c r="B37" s="119"/>
      <c r="C37" s="120"/>
      <c r="D37" s="120"/>
      <c r="E37" s="121"/>
      <c r="F37" s="84"/>
    </row>
    <row r="38" spans="1:6" x14ac:dyDescent="0.25">
      <c r="A38" s="14" t="s">
        <v>138</v>
      </c>
      <c r="B38" s="113">
        <v>3</v>
      </c>
      <c r="C38" s="114">
        <v>1</v>
      </c>
      <c r="D38" s="114" t="s">
        <v>41</v>
      </c>
      <c r="E38" s="115">
        <f>(1360485-120000)</f>
        <v>1240485</v>
      </c>
      <c r="F38" s="93">
        <f t="shared" si="0"/>
        <v>1240485</v>
      </c>
    </row>
    <row r="39" spans="1:6" x14ac:dyDescent="0.25">
      <c r="A39" s="14" t="s">
        <v>146</v>
      </c>
      <c r="B39" s="113">
        <v>4</v>
      </c>
      <c r="C39" s="114">
        <v>1</v>
      </c>
      <c r="D39" s="114" t="s">
        <v>41</v>
      </c>
      <c r="E39" s="115">
        <f>1941346 +7485672-F74-86884</f>
        <v>9270137</v>
      </c>
      <c r="F39" s="93">
        <f t="shared" si="0"/>
        <v>9270137</v>
      </c>
    </row>
    <row r="40" spans="1:6" x14ac:dyDescent="0.25">
      <c r="A40" s="14" t="s">
        <v>9</v>
      </c>
      <c r="B40" s="113">
        <v>5</v>
      </c>
      <c r="C40" s="114">
        <v>1</v>
      </c>
      <c r="D40" s="114" t="s">
        <v>41</v>
      </c>
      <c r="E40" s="115">
        <v>236440</v>
      </c>
      <c r="F40" s="93">
        <f>C40*E40</f>
        <v>236440</v>
      </c>
    </row>
    <row r="41" spans="1:6" x14ac:dyDescent="0.25">
      <c r="A41" s="14" t="s">
        <v>10</v>
      </c>
      <c r="B41" s="113">
        <v>6</v>
      </c>
      <c r="C41" s="114">
        <v>1</v>
      </c>
      <c r="D41" s="114" t="s">
        <v>41</v>
      </c>
      <c r="E41" s="115">
        <f>213876+207972</f>
        <v>421848</v>
      </c>
      <c r="F41" s="93">
        <f>C41*E41</f>
        <v>421848</v>
      </c>
    </row>
    <row r="42" spans="1:6" x14ac:dyDescent="0.25">
      <c r="A42" s="20" t="s">
        <v>22</v>
      </c>
      <c r="B42" s="116"/>
      <c r="C42" s="117"/>
      <c r="D42" s="117"/>
      <c r="E42" s="118"/>
      <c r="F42" s="94">
        <f>SUM(F38:F41)</f>
        <v>11168910</v>
      </c>
    </row>
    <row r="43" spans="1:6" x14ac:dyDescent="0.25">
      <c r="A43" s="24" t="s">
        <v>11</v>
      </c>
      <c r="B43" s="119"/>
      <c r="C43" s="120"/>
      <c r="D43" s="120"/>
      <c r="E43" s="121"/>
      <c r="F43" s="84"/>
    </row>
    <row r="44" spans="1:6" x14ac:dyDescent="0.25">
      <c r="A44" s="14" t="s">
        <v>12</v>
      </c>
      <c r="B44" s="113">
        <v>7</v>
      </c>
      <c r="C44" s="114"/>
      <c r="D44" s="114"/>
      <c r="E44" s="115"/>
      <c r="F44" s="93">
        <f t="shared" si="0"/>
        <v>0</v>
      </c>
    </row>
    <row r="45" spans="1:6" x14ac:dyDescent="0.25">
      <c r="A45" s="14" t="s">
        <v>139</v>
      </c>
      <c r="B45" s="113">
        <v>8</v>
      </c>
      <c r="C45" s="114">
        <v>1</v>
      </c>
      <c r="D45" s="114" t="s">
        <v>41</v>
      </c>
      <c r="E45" s="200">
        <f>363000+43400</f>
        <v>406400</v>
      </c>
      <c r="F45" s="93">
        <f t="shared" si="0"/>
        <v>406400</v>
      </c>
    </row>
    <row r="46" spans="1:6" x14ac:dyDescent="0.25">
      <c r="A46" s="14" t="s">
        <v>13</v>
      </c>
      <c r="B46" s="113">
        <v>9</v>
      </c>
      <c r="C46" s="114">
        <v>1</v>
      </c>
      <c r="D46" s="114" t="s">
        <v>41</v>
      </c>
      <c r="E46" s="115">
        <v>113000</v>
      </c>
      <c r="F46" s="93">
        <f t="shared" si="0"/>
        <v>113000</v>
      </c>
    </row>
    <row r="47" spans="1:6" x14ac:dyDescent="0.25">
      <c r="A47" s="14" t="s">
        <v>14</v>
      </c>
      <c r="B47" s="113">
        <v>10</v>
      </c>
      <c r="C47" s="114">
        <v>1</v>
      </c>
      <c r="D47" s="114" t="s">
        <v>41</v>
      </c>
      <c r="E47" s="200">
        <f>235000+272000+595000</f>
        <v>1102000</v>
      </c>
      <c r="F47" s="93">
        <f t="shared" si="0"/>
        <v>1102000</v>
      </c>
    </row>
    <row r="48" spans="1:6" x14ac:dyDescent="0.25">
      <c r="A48" s="14" t="s">
        <v>15</v>
      </c>
      <c r="B48" s="113">
        <v>11</v>
      </c>
      <c r="C48" s="114">
        <v>1</v>
      </c>
      <c r="D48" s="114" t="s">
        <v>41</v>
      </c>
      <c r="E48" s="115">
        <v>0</v>
      </c>
      <c r="F48" s="93">
        <f t="shared" si="0"/>
        <v>0</v>
      </c>
    </row>
    <row r="49" spans="1:6" x14ac:dyDescent="0.25">
      <c r="A49" s="20" t="s">
        <v>23</v>
      </c>
      <c r="B49" s="116"/>
      <c r="C49" s="117"/>
      <c r="D49" s="117"/>
      <c r="E49" s="118"/>
      <c r="F49" s="94">
        <f>SUM(F44:F48)</f>
        <v>1621400</v>
      </c>
    </row>
    <row r="50" spans="1:6" x14ac:dyDescent="0.25">
      <c r="A50" s="24" t="s">
        <v>21</v>
      </c>
      <c r="B50" s="119"/>
      <c r="C50" s="120"/>
      <c r="D50" s="120"/>
      <c r="E50" s="121"/>
      <c r="F50" s="84"/>
    </row>
    <row r="51" spans="1:6" x14ac:dyDescent="0.25">
      <c r="A51" s="14" t="s">
        <v>141</v>
      </c>
      <c r="B51" s="113">
        <v>12</v>
      </c>
      <c r="C51" s="114">
        <v>1</v>
      </c>
      <c r="D51" s="114" t="s">
        <v>41</v>
      </c>
      <c r="E51" s="227">
        <f>531868+703136+30000</f>
        <v>1265004</v>
      </c>
      <c r="F51" s="93">
        <f t="shared" si="0"/>
        <v>1265004</v>
      </c>
    </row>
    <row r="52" spans="1:6" x14ac:dyDescent="0.25">
      <c r="A52" s="14" t="s">
        <v>147</v>
      </c>
      <c r="B52" s="113">
        <v>13</v>
      </c>
      <c r="C52" s="114">
        <v>1</v>
      </c>
      <c r="D52" s="114" t="s">
        <v>41</v>
      </c>
      <c r="E52" s="115">
        <v>145584</v>
      </c>
      <c r="F52" s="93">
        <f t="shared" si="0"/>
        <v>145584</v>
      </c>
    </row>
    <row r="53" spans="1:6" x14ac:dyDescent="0.25">
      <c r="A53" s="14" t="s">
        <v>142</v>
      </c>
      <c r="B53" s="113">
        <v>14</v>
      </c>
      <c r="C53" s="114">
        <v>1</v>
      </c>
      <c r="D53" s="114" t="s">
        <v>41</v>
      </c>
      <c r="E53" s="115">
        <f>397800+465900</f>
        <v>863700</v>
      </c>
      <c r="F53" s="93">
        <f>C53*E53</f>
        <v>863700</v>
      </c>
    </row>
    <row r="54" spans="1:6" x14ac:dyDescent="0.25">
      <c r="A54" s="14" t="s">
        <v>143</v>
      </c>
      <c r="B54" s="42">
        <v>15</v>
      </c>
      <c r="C54" s="36">
        <v>1</v>
      </c>
      <c r="D54" s="36" t="s">
        <v>41</v>
      </c>
      <c r="E54" s="200">
        <f>84720 +12900+67800</f>
        <v>165420</v>
      </c>
      <c r="F54" s="201">
        <f t="shared" si="0"/>
        <v>165420</v>
      </c>
    </row>
    <row r="55" spans="1:6" x14ac:dyDescent="0.25">
      <c r="A55" s="14" t="s">
        <v>144</v>
      </c>
      <c r="B55" s="113">
        <v>16</v>
      </c>
      <c r="C55" s="114">
        <v>1</v>
      </c>
      <c r="D55" s="114" t="s">
        <v>41</v>
      </c>
      <c r="E55" s="115">
        <v>91800</v>
      </c>
      <c r="F55" s="201">
        <f t="shared" si="0"/>
        <v>91800</v>
      </c>
    </row>
    <row r="56" spans="1:6" x14ac:dyDescent="0.25">
      <c r="A56" s="14" t="s">
        <v>140</v>
      </c>
      <c r="B56" s="113">
        <v>17</v>
      </c>
      <c r="C56" s="114">
        <v>1</v>
      </c>
      <c r="D56" s="114" t="s">
        <v>41</v>
      </c>
      <c r="E56" s="115">
        <f>55000+74360</f>
        <v>129360</v>
      </c>
      <c r="F56" s="93">
        <f t="shared" si="0"/>
        <v>129360</v>
      </c>
    </row>
    <row r="57" spans="1:6" x14ac:dyDescent="0.25">
      <c r="A57" s="14" t="s">
        <v>145</v>
      </c>
      <c r="B57" s="113">
        <v>18</v>
      </c>
      <c r="C57" s="114">
        <v>1</v>
      </c>
      <c r="D57" s="114" t="s">
        <v>41</v>
      </c>
      <c r="E57" s="115">
        <v>35640</v>
      </c>
      <c r="F57" s="93">
        <f t="shared" si="0"/>
        <v>35640</v>
      </c>
    </row>
    <row r="58" spans="1:6" x14ac:dyDescent="0.25">
      <c r="A58" s="20" t="s">
        <v>24</v>
      </c>
      <c r="B58" s="116"/>
      <c r="C58" s="117"/>
      <c r="D58" s="117"/>
      <c r="E58" s="118"/>
      <c r="F58" s="94">
        <f>SUM(F51:F57)</f>
        <v>2696508</v>
      </c>
    </row>
    <row r="59" spans="1:6" x14ac:dyDescent="0.25">
      <c r="A59" s="24" t="s">
        <v>16</v>
      </c>
      <c r="B59" s="119"/>
      <c r="C59" s="120"/>
      <c r="D59" s="120"/>
      <c r="E59" s="121"/>
      <c r="F59" s="85"/>
    </row>
    <row r="60" spans="1:6" x14ac:dyDescent="0.25">
      <c r="A60" s="14" t="s">
        <v>148</v>
      </c>
      <c r="B60" s="113">
        <v>19</v>
      </c>
      <c r="C60" s="114">
        <v>1</v>
      </c>
      <c r="D60" s="114" t="s">
        <v>41</v>
      </c>
      <c r="E60" s="115">
        <v>500000</v>
      </c>
      <c r="F60" s="93">
        <f t="shared" ref="F60:F63" si="1">C60*E60</f>
        <v>500000</v>
      </c>
    </row>
    <row r="61" spans="1:6" x14ac:dyDescent="0.25">
      <c r="A61" s="205" t="s">
        <v>218</v>
      </c>
      <c r="B61" s="113">
        <v>20</v>
      </c>
      <c r="C61" s="114">
        <v>1</v>
      </c>
      <c r="D61" s="114" t="s">
        <v>41</v>
      </c>
      <c r="E61" s="115">
        <f xml:space="preserve"> 150000 +10610</f>
        <v>160610</v>
      </c>
      <c r="F61" s="93">
        <f t="shared" si="1"/>
        <v>160610</v>
      </c>
    </row>
    <row r="62" spans="1:6" x14ac:dyDescent="0.25">
      <c r="A62" s="14" t="s">
        <v>17</v>
      </c>
      <c r="B62" s="113">
        <v>21</v>
      </c>
      <c r="C62" s="114">
        <v>1</v>
      </c>
      <c r="D62" s="114" t="s">
        <v>41</v>
      </c>
      <c r="E62" s="115">
        <v>9200</v>
      </c>
      <c r="F62" s="93">
        <f t="shared" si="1"/>
        <v>9200</v>
      </c>
    </row>
    <row r="63" spans="1:6" x14ac:dyDescent="0.25">
      <c r="A63" s="205" t="s">
        <v>175</v>
      </c>
      <c r="B63" s="113">
        <v>22</v>
      </c>
      <c r="C63" s="114">
        <v>1</v>
      </c>
      <c r="D63" s="114" t="s">
        <v>41</v>
      </c>
      <c r="E63" s="115">
        <v>234700</v>
      </c>
      <c r="F63" s="93">
        <f t="shared" si="1"/>
        <v>234700</v>
      </c>
    </row>
    <row r="64" spans="1:6" x14ac:dyDescent="0.25">
      <c r="A64" s="20" t="s">
        <v>25</v>
      </c>
      <c r="B64" s="116"/>
      <c r="C64" s="117"/>
      <c r="D64" s="117"/>
      <c r="E64" s="118"/>
      <c r="F64" s="94">
        <f>SUM(F60:F63)</f>
        <v>904510</v>
      </c>
    </row>
    <row r="65" spans="1:6" x14ac:dyDescent="0.25">
      <c r="A65" s="24" t="s">
        <v>76</v>
      </c>
      <c r="B65" s="119"/>
      <c r="C65" s="120"/>
      <c r="D65" s="120"/>
      <c r="E65" s="121"/>
      <c r="F65" s="85"/>
    </row>
    <row r="66" spans="1:6" x14ac:dyDescent="0.25">
      <c r="A66" s="14" t="s">
        <v>18</v>
      </c>
      <c r="B66" s="113">
        <v>23</v>
      </c>
      <c r="C66" s="202">
        <v>0.01</v>
      </c>
      <c r="D66" s="114"/>
      <c r="E66" s="115">
        <f>F64+F58+F49+F42+F36</f>
        <v>18225728</v>
      </c>
      <c r="F66" s="93">
        <f t="shared" ref="F66:F67" si="2">C66*E66</f>
        <v>182257.28</v>
      </c>
    </row>
    <row r="67" spans="1:6" x14ac:dyDescent="0.25">
      <c r="A67" s="14" t="s">
        <v>78</v>
      </c>
      <c r="B67" s="113">
        <v>24</v>
      </c>
      <c r="C67" s="230">
        <f>$B$23</f>
        <v>0.05</v>
      </c>
      <c r="D67" s="114"/>
      <c r="E67" s="115">
        <f>(F36*5/12)+(F42+F49+F58+F64+F66)*2/12</f>
        <v>3526597.5466666669</v>
      </c>
      <c r="F67" s="93">
        <f t="shared" si="2"/>
        <v>176329.87733333337</v>
      </c>
    </row>
    <row r="68" spans="1:6" x14ac:dyDescent="0.25">
      <c r="A68" s="20" t="s">
        <v>77</v>
      </c>
      <c r="B68" s="21"/>
      <c r="C68" s="22"/>
      <c r="D68" s="22"/>
      <c r="E68" s="23"/>
      <c r="F68" s="94">
        <f>SUM(F66:F67)</f>
        <v>358587.15733333339</v>
      </c>
    </row>
    <row r="69" spans="1:6" x14ac:dyDescent="0.25">
      <c r="A69" s="26" t="s">
        <v>128</v>
      </c>
      <c r="B69" s="25"/>
      <c r="C69" s="27"/>
      <c r="D69" s="27"/>
      <c r="E69" s="28"/>
      <c r="F69" s="95">
        <f>$F$36+$F$42+$F$49+$F$58+$F$64+$F$68</f>
        <v>18584315.157333333</v>
      </c>
    </row>
    <row r="70" spans="1:6" s="47" customFormat="1" x14ac:dyDescent="0.25">
      <c r="A70" s="43" t="s">
        <v>63</v>
      </c>
      <c r="B70" s="44"/>
      <c r="C70" s="45"/>
      <c r="D70" s="45"/>
      <c r="E70" s="46"/>
      <c r="F70" s="96">
        <f>IF(($F$69*0.4)&lt;1200000,-$F$69*0.4,-1200000)</f>
        <v>-1200000</v>
      </c>
    </row>
    <row r="71" spans="1:6" s="9" customFormat="1" x14ac:dyDescent="0.25">
      <c r="A71" s="57" t="s">
        <v>70</v>
      </c>
      <c r="B71" s="21"/>
      <c r="C71" s="58"/>
      <c r="D71" s="58"/>
      <c r="E71" s="59"/>
      <c r="F71" s="97">
        <f>$F$69+$F$70</f>
        <v>17384315.157333333</v>
      </c>
    </row>
    <row r="72" spans="1:6" s="9" customFormat="1" x14ac:dyDescent="0.25">
      <c r="A72" s="29" t="s">
        <v>64</v>
      </c>
      <c r="B72" s="19"/>
      <c r="C72" s="30"/>
      <c r="D72" s="30"/>
      <c r="E72" s="31"/>
      <c r="F72" s="98">
        <f>$F$69/$B$14</f>
        <v>29037.992433333333</v>
      </c>
    </row>
    <row r="73" spans="1:6" x14ac:dyDescent="0.25">
      <c r="A73" s="29" t="s">
        <v>71</v>
      </c>
      <c r="B73" s="19"/>
      <c r="C73" s="30"/>
      <c r="D73" s="30"/>
      <c r="E73" s="31"/>
      <c r="F73" s="98">
        <f>($F$69+$F$70)/$B$14</f>
        <v>27162.992433333333</v>
      </c>
    </row>
    <row r="74" spans="1:6" x14ac:dyDescent="0.25">
      <c r="A74" s="32" t="s">
        <v>28</v>
      </c>
      <c r="B74" s="187">
        <v>25</v>
      </c>
      <c r="C74" s="188"/>
      <c r="D74" s="188"/>
      <c r="E74" s="189"/>
      <c r="F74" s="219">
        <v>69997</v>
      </c>
    </row>
    <row r="75" spans="1:6" ht="14.4" thickBot="1" x14ac:dyDescent="0.3">
      <c r="A75" s="33" t="s">
        <v>129</v>
      </c>
      <c r="B75" s="34"/>
      <c r="C75" s="35"/>
      <c r="D75" s="35"/>
      <c r="E75" s="35"/>
      <c r="F75" s="99">
        <f>$F$69+$F$74</f>
        <v>18654312.157333333</v>
      </c>
    </row>
    <row r="80" spans="1:6" x14ac:dyDescent="0.25">
      <c r="A80" s="60"/>
      <c r="B80" s="62"/>
      <c r="C80" s="62"/>
      <c r="D80" s="56"/>
    </row>
  </sheetData>
  <dataValidations disablePrompts="1" count="1">
    <dataValidation type="list" allowBlank="1" showInputMessage="1" showErrorMessage="1" promptTitle="Välj djurslag" sqref="C14">
      <formula1>Djurslag</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topLeftCell="A46" workbookViewId="0">
      <selection activeCell="C89" sqref="C89"/>
    </sheetView>
  </sheetViews>
  <sheetFormatPr defaultRowHeight="14.4" x14ac:dyDescent="0.3"/>
  <sheetData>
    <row r="1" spans="1:10" x14ac:dyDescent="0.3">
      <c r="A1" s="211" t="s">
        <v>149</v>
      </c>
      <c r="B1" s="210" t="s">
        <v>19</v>
      </c>
      <c r="C1" s="210"/>
      <c r="D1" s="210"/>
      <c r="E1" s="210"/>
    </row>
    <row r="2" spans="1:10" x14ac:dyDescent="0.3">
      <c r="A2" s="204"/>
      <c r="B2" s="226" t="s">
        <v>271</v>
      </c>
    </row>
    <row r="3" spans="1:10" s="203" customFormat="1" x14ac:dyDescent="0.3">
      <c r="A3" s="204"/>
      <c r="B3" s="209" t="s">
        <v>178</v>
      </c>
      <c r="C3" s="209"/>
      <c r="D3" s="209"/>
      <c r="E3" s="209"/>
      <c r="F3" s="209"/>
      <c r="G3" s="209"/>
      <c r="H3" s="220"/>
      <c r="I3" s="220"/>
      <c r="J3" s="220"/>
    </row>
    <row r="4" spans="1:10" s="203" customFormat="1" x14ac:dyDescent="0.3">
      <c r="A4" s="204"/>
      <c r="B4" s="226" t="s">
        <v>270</v>
      </c>
    </row>
    <row r="5" spans="1:10" s="203" customFormat="1" x14ac:dyDescent="0.3">
      <c r="A5" s="204"/>
    </row>
    <row r="6" spans="1:10" x14ac:dyDescent="0.3">
      <c r="A6" s="211" t="s">
        <v>150</v>
      </c>
      <c r="B6" s="210" t="s">
        <v>20</v>
      </c>
    </row>
    <row r="7" spans="1:10" x14ac:dyDescent="0.3">
      <c r="A7" s="204"/>
      <c r="B7" s="226" t="s">
        <v>272</v>
      </c>
      <c r="J7" s="203"/>
    </row>
    <row r="8" spans="1:10" s="203" customFormat="1" x14ac:dyDescent="0.3">
      <c r="A8" s="204"/>
      <c r="B8" s="226" t="s">
        <v>273</v>
      </c>
    </row>
    <row r="9" spans="1:10" s="203" customFormat="1" x14ac:dyDescent="0.3">
      <c r="A9" s="204"/>
      <c r="B9" s="203" t="s">
        <v>178</v>
      </c>
    </row>
    <row r="10" spans="1:10" s="203" customFormat="1" x14ac:dyDescent="0.3">
      <c r="A10" s="204"/>
    </row>
    <row r="11" spans="1:10" x14ac:dyDescent="0.3">
      <c r="A11" s="211" t="s">
        <v>151</v>
      </c>
      <c r="B11" s="210" t="s">
        <v>138</v>
      </c>
    </row>
    <row r="12" spans="1:10" x14ac:dyDescent="0.3">
      <c r="A12" s="204"/>
      <c r="B12" s="203" t="s">
        <v>179</v>
      </c>
    </row>
    <row r="13" spans="1:10" s="203" customFormat="1" x14ac:dyDescent="0.3">
      <c r="A13" s="204"/>
      <c r="B13" s="203" t="s">
        <v>180</v>
      </c>
    </row>
    <row r="14" spans="1:10" s="203" customFormat="1" x14ac:dyDescent="0.3">
      <c r="A14" s="204"/>
    </row>
    <row r="15" spans="1:10" x14ac:dyDescent="0.3">
      <c r="A15" s="211" t="s">
        <v>152</v>
      </c>
      <c r="B15" s="210" t="s">
        <v>193</v>
      </c>
    </row>
    <row r="16" spans="1:10" x14ac:dyDescent="0.3">
      <c r="A16" s="204"/>
      <c r="B16" s="203" t="s">
        <v>181</v>
      </c>
    </row>
    <row r="17" spans="1:9" s="203" customFormat="1" x14ac:dyDescent="0.3">
      <c r="A17" s="204"/>
      <c r="B17" s="203" t="s">
        <v>217</v>
      </c>
      <c r="C17"/>
      <c r="D17"/>
      <c r="E17"/>
      <c r="F17"/>
      <c r="G17"/>
    </row>
    <row r="18" spans="1:9" s="203" customFormat="1" x14ac:dyDescent="0.3">
      <c r="A18" s="204"/>
      <c r="B18" s="203" t="s">
        <v>192</v>
      </c>
    </row>
    <row r="19" spans="1:9" s="203" customFormat="1" x14ac:dyDescent="0.3">
      <c r="A19" s="204"/>
      <c r="B19" s="226" t="s">
        <v>274</v>
      </c>
      <c r="C19" s="222"/>
      <c r="D19" s="222"/>
      <c r="E19" s="222"/>
      <c r="F19" s="222"/>
      <c r="G19" s="222"/>
      <c r="H19" s="222"/>
      <c r="I19" s="222"/>
    </row>
    <row r="20" spans="1:9" s="203" customFormat="1" x14ac:dyDescent="0.3">
      <c r="A20" s="204"/>
    </row>
    <row r="21" spans="1:9" x14ac:dyDescent="0.3">
      <c r="A21" s="211" t="s">
        <v>153</v>
      </c>
      <c r="B21" s="210" t="s">
        <v>194</v>
      </c>
    </row>
    <row r="22" spans="1:9" x14ac:dyDescent="0.3">
      <c r="A22" s="204"/>
      <c r="B22" s="203" t="s">
        <v>182</v>
      </c>
    </row>
    <row r="23" spans="1:9" s="203" customFormat="1" x14ac:dyDescent="0.3">
      <c r="A23" s="204"/>
      <c r="B23" s="226" t="s">
        <v>275</v>
      </c>
    </row>
    <row r="24" spans="1:9" s="203" customFormat="1" x14ac:dyDescent="0.3">
      <c r="A24" s="204"/>
    </row>
    <row r="25" spans="1:9" x14ac:dyDescent="0.3">
      <c r="A25" s="211" t="s">
        <v>154</v>
      </c>
      <c r="B25" s="210" t="s">
        <v>10</v>
      </c>
      <c r="C25" s="203"/>
      <c r="D25" s="203"/>
      <c r="E25" s="203"/>
      <c r="F25" s="203"/>
      <c r="G25" s="203"/>
      <c r="H25" s="203"/>
      <c r="I25" s="203"/>
    </row>
    <row r="26" spans="1:9" x14ac:dyDescent="0.3">
      <c r="A26" s="204"/>
      <c r="B26" s="203" t="s">
        <v>182</v>
      </c>
    </row>
    <row r="27" spans="1:9" s="203" customFormat="1" x14ac:dyDescent="0.3">
      <c r="A27" s="204"/>
      <c r="B27" s="226" t="s">
        <v>276</v>
      </c>
    </row>
    <row r="29" spans="1:9" x14ac:dyDescent="0.3">
      <c r="A29" s="211" t="s">
        <v>155</v>
      </c>
      <c r="B29" s="210" t="s">
        <v>195</v>
      </c>
    </row>
    <row r="30" spans="1:9" s="203" customFormat="1" x14ac:dyDescent="0.3">
      <c r="A30" s="204"/>
      <c r="B30" s="203" t="s">
        <v>196</v>
      </c>
    </row>
    <row r="31" spans="1:9" x14ac:dyDescent="0.3">
      <c r="A31" s="204"/>
      <c r="B31" s="203"/>
    </row>
    <row r="32" spans="1:9" x14ac:dyDescent="0.3">
      <c r="A32" s="224" t="s">
        <v>156</v>
      </c>
      <c r="B32" s="210" t="s">
        <v>197</v>
      </c>
    </row>
    <row r="33" spans="1:12" x14ac:dyDescent="0.3">
      <c r="A33" s="224"/>
      <c r="B33" s="203" t="s">
        <v>183</v>
      </c>
    </row>
    <row r="34" spans="1:12" s="203" customFormat="1" x14ac:dyDescent="0.3">
      <c r="A34" s="224"/>
      <c r="B34" s="203" t="s">
        <v>184</v>
      </c>
    </row>
    <row r="35" spans="1:12" s="203" customFormat="1" x14ac:dyDescent="0.3">
      <c r="A35" s="224"/>
      <c r="B35" s="222" t="s">
        <v>242</v>
      </c>
    </row>
    <row r="36" spans="1:12" s="203" customFormat="1" x14ac:dyDescent="0.3">
      <c r="A36" s="224"/>
    </row>
    <row r="37" spans="1:12" x14ac:dyDescent="0.3">
      <c r="A37" s="224" t="s">
        <v>157</v>
      </c>
      <c r="B37" s="210" t="s">
        <v>198</v>
      </c>
    </row>
    <row r="38" spans="1:12" s="203" customFormat="1" x14ac:dyDescent="0.3">
      <c r="A38" s="224"/>
      <c r="B38" s="203" t="s">
        <v>185</v>
      </c>
    </row>
    <row r="39" spans="1:12" x14ac:dyDescent="0.3">
      <c r="A39" s="224"/>
      <c r="B39" s="203"/>
    </row>
    <row r="40" spans="1:12" x14ac:dyDescent="0.3">
      <c r="A40" s="224" t="s">
        <v>158</v>
      </c>
      <c r="B40" s="210" t="s">
        <v>14</v>
      </c>
    </row>
    <row r="41" spans="1:12" x14ac:dyDescent="0.3">
      <c r="A41" s="224"/>
      <c r="B41" s="203" t="s">
        <v>186</v>
      </c>
    </row>
    <row r="42" spans="1:12" s="203" customFormat="1" x14ac:dyDescent="0.3">
      <c r="A42" s="224"/>
      <c r="B42" s="203" t="s">
        <v>187</v>
      </c>
    </row>
    <row r="43" spans="1:12" s="203" customFormat="1" x14ac:dyDescent="0.3">
      <c r="A43" s="224"/>
      <c r="B43" s="203" t="s">
        <v>188</v>
      </c>
    </row>
    <row r="44" spans="1:12" s="203" customFormat="1" x14ac:dyDescent="0.3">
      <c r="A44" s="224"/>
    </row>
    <row r="45" spans="1:12" x14ac:dyDescent="0.3">
      <c r="A45" s="224" t="s">
        <v>159</v>
      </c>
      <c r="B45" s="210" t="s">
        <v>15</v>
      </c>
    </row>
    <row r="46" spans="1:12" x14ac:dyDescent="0.3">
      <c r="A46" s="224"/>
      <c r="B46" s="203" t="s">
        <v>160</v>
      </c>
    </row>
    <row r="47" spans="1:12" s="203" customFormat="1" x14ac:dyDescent="0.3">
      <c r="A47" s="224"/>
    </row>
    <row r="48" spans="1:12" x14ac:dyDescent="0.3">
      <c r="A48" s="224" t="s">
        <v>161</v>
      </c>
      <c r="B48" s="210" t="s">
        <v>200</v>
      </c>
      <c r="C48" s="209"/>
      <c r="D48" s="209"/>
      <c r="E48" s="209"/>
      <c r="F48" s="209"/>
      <c r="G48" s="209"/>
      <c r="H48" s="209"/>
      <c r="I48" s="209"/>
      <c r="J48" s="209"/>
      <c r="K48" s="209"/>
      <c r="L48" s="209"/>
    </row>
    <row r="49" spans="1:2" x14ac:dyDescent="0.3">
      <c r="A49" s="224"/>
      <c r="B49" s="222" t="s">
        <v>250</v>
      </c>
    </row>
    <row r="50" spans="1:2" s="203" customFormat="1" x14ac:dyDescent="0.3">
      <c r="A50" s="224"/>
      <c r="B50" s="223" t="s">
        <v>243</v>
      </c>
    </row>
    <row r="51" spans="1:2" s="203" customFormat="1" x14ac:dyDescent="0.3">
      <c r="A51" s="224"/>
      <c r="B51" s="223" t="s">
        <v>202</v>
      </c>
    </row>
    <row r="52" spans="1:2" s="203" customFormat="1" x14ac:dyDescent="0.3">
      <c r="A52" s="224"/>
      <c r="B52" s="223" t="s">
        <v>203</v>
      </c>
    </row>
    <row r="53" spans="1:2" s="203" customFormat="1" x14ac:dyDescent="0.3">
      <c r="A53" s="224"/>
      <c r="B53" s="222" t="s">
        <v>249</v>
      </c>
    </row>
    <row r="54" spans="1:2" s="203" customFormat="1" x14ac:dyDescent="0.3">
      <c r="A54" s="224"/>
      <c r="B54" s="225" t="s">
        <v>204</v>
      </c>
    </row>
    <row r="55" spans="1:2" s="203" customFormat="1" x14ac:dyDescent="0.3">
      <c r="A55" s="224"/>
      <c r="B55" s="222" t="s">
        <v>247</v>
      </c>
    </row>
    <row r="56" spans="1:2" s="203" customFormat="1" x14ac:dyDescent="0.3">
      <c r="A56" s="224"/>
      <c r="B56" s="222" t="s">
        <v>248</v>
      </c>
    </row>
    <row r="57" spans="1:2" s="203" customFormat="1" x14ac:dyDescent="0.3">
      <c r="A57" s="224"/>
      <c r="B57" s="223" t="s">
        <v>205</v>
      </c>
    </row>
    <row r="58" spans="1:2" s="223" customFormat="1" x14ac:dyDescent="0.3">
      <c r="A58" s="224"/>
    </row>
    <row r="59" spans="1:2" x14ac:dyDescent="0.3">
      <c r="A59" s="224" t="s">
        <v>162</v>
      </c>
      <c r="B59" s="210" t="s">
        <v>199</v>
      </c>
    </row>
    <row r="60" spans="1:2" s="203" customFormat="1" x14ac:dyDescent="0.3">
      <c r="A60" s="224"/>
      <c r="B60" s="226" t="s">
        <v>268</v>
      </c>
    </row>
    <row r="61" spans="1:2" x14ac:dyDescent="0.3">
      <c r="A61" s="224"/>
      <c r="B61" s="226" t="s">
        <v>189</v>
      </c>
    </row>
    <row r="62" spans="1:2" s="203" customFormat="1" x14ac:dyDescent="0.3">
      <c r="A62" s="224"/>
      <c r="B62" s="226" t="s">
        <v>201</v>
      </c>
    </row>
    <row r="63" spans="1:2" s="203" customFormat="1" x14ac:dyDescent="0.3">
      <c r="A63" s="224"/>
      <c r="B63" s="226" t="s">
        <v>191</v>
      </c>
    </row>
    <row r="64" spans="1:2" s="203" customFormat="1" x14ac:dyDescent="0.3">
      <c r="A64" s="224"/>
      <c r="B64" s="226" t="s">
        <v>190</v>
      </c>
    </row>
    <row r="65" spans="1:2" s="203" customFormat="1" x14ac:dyDescent="0.3">
      <c r="A65" s="224"/>
    </row>
    <row r="66" spans="1:2" x14ac:dyDescent="0.3">
      <c r="A66" s="224" t="s">
        <v>163</v>
      </c>
      <c r="B66" s="210" t="s">
        <v>142</v>
      </c>
    </row>
    <row r="67" spans="1:2" x14ac:dyDescent="0.3">
      <c r="A67" s="224"/>
      <c r="B67" s="203" t="s">
        <v>206</v>
      </c>
    </row>
    <row r="68" spans="1:2" s="203" customFormat="1" x14ac:dyDescent="0.3">
      <c r="A68" s="224"/>
      <c r="B68" s="226" t="s">
        <v>277</v>
      </c>
    </row>
    <row r="69" spans="1:2" s="203" customFormat="1" x14ac:dyDescent="0.3">
      <c r="A69" s="224"/>
      <c r="B69" s="203" t="s">
        <v>269</v>
      </c>
    </row>
    <row r="70" spans="1:2" s="226" customFormat="1" x14ac:dyDescent="0.3">
      <c r="A70" s="228"/>
    </row>
    <row r="71" spans="1:2" x14ac:dyDescent="0.3">
      <c r="A71" s="224" t="s">
        <v>164</v>
      </c>
      <c r="B71" s="210" t="s">
        <v>207</v>
      </c>
    </row>
    <row r="72" spans="1:2" x14ac:dyDescent="0.3">
      <c r="A72" s="224"/>
      <c r="B72" s="203" t="s">
        <v>176</v>
      </c>
    </row>
    <row r="73" spans="1:2" s="203" customFormat="1" x14ac:dyDescent="0.3">
      <c r="A73" s="224"/>
      <c r="B73" s="226" t="s">
        <v>278</v>
      </c>
    </row>
    <row r="74" spans="1:2" s="226" customFormat="1" x14ac:dyDescent="0.3">
      <c r="A74" s="228"/>
      <c r="B74" s="226" t="s">
        <v>279</v>
      </c>
    </row>
    <row r="75" spans="1:2" s="203" customFormat="1" x14ac:dyDescent="0.3">
      <c r="A75" s="224"/>
      <c r="B75" s="222" t="s">
        <v>244</v>
      </c>
    </row>
    <row r="76" spans="1:2" s="203" customFormat="1" x14ac:dyDescent="0.3">
      <c r="A76" s="224"/>
      <c r="B76" s="222" t="s">
        <v>245</v>
      </c>
    </row>
    <row r="77" spans="1:2" s="226" customFormat="1" x14ac:dyDescent="0.3">
      <c r="A77" s="228"/>
    </row>
    <row r="78" spans="1:2" x14ac:dyDescent="0.3">
      <c r="A78" s="224" t="s">
        <v>165</v>
      </c>
      <c r="B78" s="210" t="s">
        <v>144</v>
      </c>
    </row>
    <row r="79" spans="1:2" x14ac:dyDescent="0.3">
      <c r="A79" s="224"/>
      <c r="B79" s="226" t="s">
        <v>281</v>
      </c>
    </row>
    <row r="80" spans="1:2" s="203" customFormat="1" x14ac:dyDescent="0.3">
      <c r="A80" s="224"/>
      <c r="B80" s="203" t="s">
        <v>208</v>
      </c>
    </row>
    <row r="81" spans="1:2" s="203" customFormat="1" x14ac:dyDescent="0.3">
      <c r="A81" s="224"/>
    </row>
    <row r="82" spans="1:2" x14ac:dyDescent="0.3">
      <c r="A82" s="224" t="s">
        <v>166</v>
      </c>
      <c r="B82" s="210" t="s">
        <v>140</v>
      </c>
    </row>
    <row r="83" spans="1:2" s="203" customFormat="1" x14ac:dyDescent="0.3">
      <c r="A83" s="224"/>
      <c r="B83" s="226" t="s">
        <v>282</v>
      </c>
    </row>
    <row r="84" spans="1:2" x14ac:dyDescent="0.3">
      <c r="A84" s="224"/>
      <c r="B84" s="209" t="s">
        <v>283</v>
      </c>
    </row>
    <row r="85" spans="1:2" s="226" customFormat="1" x14ac:dyDescent="0.3">
      <c r="A85" s="228"/>
      <c r="B85" s="221"/>
    </row>
    <row r="86" spans="1:2" x14ac:dyDescent="0.3">
      <c r="A86" s="224" t="s">
        <v>167</v>
      </c>
      <c r="B86" s="210" t="s">
        <v>209</v>
      </c>
    </row>
    <row r="87" spans="1:2" x14ac:dyDescent="0.3">
      <c r="A87" s="224"/>
      <c r="B87" s="226" t="s">
        <v>284</v>
      </c>
    </row>
    <row r="88" spans="1:2" s="203" customFormat="1" x14ac:dyDescent="0.3">
      <c r="A88" s="224"/>
    </row>
    <row r="89" spans="1:2" x14ac:dyDescent="0.3">
      <c r="A89" s="224" t="s">
        <v>168</v>
      </c>
      <c r="B89" s="210" t="s">
        <v>210</v>
      </c>
    </row>
    <row r="90" spans="1:2" x14ac:dyDescent="0.3">
      <c r="A90" s="224"/>
      <c r="B90" s="203" t="s">
        <v>181</v>
      </c>
    </row>
    <row r="91" spans="1:2" s="203" customFormat="1" x14ac:dyDescent="0.3">
      <c r="A91" s="224"/>
    </row>
    <row r="92" spans="1:2" x14ac:dyDescent="0.3">
      <c r="A92" s="224" t="s">
        <v>169</v>
      </c>
      <c r="B92" s="210" t="s">
        <v>219</v>
      </c>
    </row>
    <row r="93" spans="1:2" x14ac:dyDescent="0.3">
      <c r="A93" s="224"/>
      <c r="B93" s="203" t="s">
        <v>220</v>
      </c>
    </row>
    <row r="94" spans="1:2" x14ac:dyDescent="0.3">
      <c r="A94" s="224"/>
      <c r="B94" s="203" t="s">
        <v>221</v>
      </c>
    </row>
    <row r="95" spans="1:2" s="203" customFormat="1" x14ac:dyDescent="0.3">
      <c r="A95" s="224"/>
    </row>
    <row r="96" spans="1:2" x14ac:dyDescent="0.3">
      <c r="A96" s="224" t="s">
        <v>170</v>
      </c>
      <c r="B96" s="210" t="s">
        <v>17</v>
      </c>
    </row>
    <row r="97" spans="1:10" x14ac:dyDescent="0.3">
      <c r="A97" s="224"/>
      <c r="B97" s="203" t="s">
        <v>211</v>
      </c>
      <c r="C97" s="203"/>
      <c r="D97" s="203"/>
      <c r="E97" s="203"/>
      <c r="F97" s="203"/>
      <c r="G97" s="203"/>
      <c r="H97" s="203"/>
      <c r="I97" s="203"/>
      <c r="J97" s="203"/>
    </row>
    <row r="98" spans="1:10" s="203" customFormat="1" x14ac:dyDescent="0.3">
      <c r="A98" s="224"/>
    </row>
    <row r="99" spans="1:10" x14ac:dyDescent="0.3">
      <c r="A99" s="224" t="s">
        <v>171</v>
      </c>
      <c r="B99" s="210" t="s">
        <v>212</v>
      </c>
      <c r="C99" s="203"/>
      <c r="D99" s="203"/>
      <c r="E99" s="203"/>
      <c r="F99" s="203"/>
      <c r="G99" s="203"/>
      <c r="H99" s="203"/>
      <c r="I99" s="203"/>
      <c r="J99" s="203"/>
    </row>
    <row r="100" spans="1:10" s="203" customFormat="1" x14ac:dyDescent="0.3">
      <c r="A100" s="224"/>
      <c r="B100" s="203" t="s">
        <v>213</v>
      </c>
    </row>
    <row r="101" spans="1:10" x14ac:dyDescent="0.3">
      <c r="A101" s="224"/>
      <c r="B101" s="203"/>
      <c r="C101" s="203"/>
      <c r="D101" s="203"/>
      <c r="E101" s="203"/>
      <c r="F101" s="203"/>
      <c r="G101" s="203"/>
      <c r="H101" s="203"/>
      <c r="I101" s="203"/>
      <c r="J101" s="203"/>
    </row>
    <row r="102" spans="1:10" ht="15.6" x14ac:dyDescent="0.3">
      <c r="A102" s="224" t="s">
        <v>172</v>
      </c>
      <c r="B102" s="210" t="s">
        <v>18</v>
      </c>
      <c r="C102" s="203"/>
      <c r="D102" s="203"/>
      <c r="E102" s="203"/>
      <c r="F102" s="203"/>
      <c r="G102" s="203"/>
      <c r="H102" s="203"/>
      <c r="I102" s="203"/>
      <c r="J102" s="207"/>
    </row>
    <row r="103" spans="1:10" x14ac:dyDescent="0.3">
      <c r="A103" s="224"/>
      <c r="B103" s="226" t="s">
        <v>214</v>
      </c>
      <c r="C103" s="203"/>
      <c r="D103" s="203"/>
      <c r="E103" s="203"/>
      <c r="F103" s="203"/>
      <c r="G103" s="203"/>
      <c r="H103" s="203"/>
      <c r="I103" s="203"/>
      <c r="J103" s="203"/>
    </row>
    <row r="104" spans="1:10" s="203" customFormat="1" x14ac:dyDescent="0.3">
      <c r="A104" s="224"/>
    </row>
    <row r="105" spans="1:10" x14ac:dyDescent="0.3">
      <c r="A105" s="224" t="s">
        <v>173</v>
      </c>
      <c r="B105" s="210" t="s">
        <v>78</v>
      </c>
      <c r="C105" s="204"/>
      <c r="D105" s="204"/>
      <c r="E105" s="204"/>
      <c r="F105" s="204"/>
      <c r="G105" s="204"/>
      <c r="H105" s="204"/>
      <c r="I105" s="203"/>
      <c r="J105" s="203"/>
    </row>
    <row r="106" spans="1:10" s="203" customFormat="1" x14ac:dyDescent="0.3">
      <c r="A106" s="224"/>
      <c r="B106" s="222" t="s">
        <v>246</v>
      </c>
      <c r="C106" s="204"/>
      <c r="D106" s="204"/>
      <c r="E106" s="204"/>
      <c r="F106" s="204"/>
      <c r="G106" s="204"/>
      <c r="H106" s="204"/>
    </row>
    <row r="107" spans="1:10" x14ac:dyDescent="0.3">
      <c r="A107" s="224"/>
      <c r="B107" s="203"/>
      <c r="C107" s="203"/>
      <c r="D107" s="203"/>
      <c r="E107" s="203"/>
      <c r="F107" s="203"/>
      <c r="G107" s="203"/>
      <c r="H107" s="203"/>
      <c r="I107" s="203"/>
      <c r="J107" s="203"/>
    </row>
    <row r="108" spans="1:10" x14ac:dyDescent="0.3">
      <c r="A108" s="224" t="s">
        <v>174</v>
      </c>
      <c r="B108" s="210" t="s">
        <v>215</v>
      </c>
      <c r="C108" s="203"/>
      <c r="D108" s="203"/>
      <c r="E108" s="203"/>
      <c r="F108" s="203"/>
      <c r="G108" s="203"/>
      <c r="H108" s="203"/>
      <c r="I108" s="203"/>
      <c r="J108" s="203"/>
    </row>
    <row r="109" spans="1:10" x14ac:dyDescent="0.3">
      <c r="A109" s="224"/>
      <c r="B109" s="203" t="s">
        <v>216</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Z78"/>
  <sheetViews>
    <sheetView zoomScaleNormal="100" workbookViewId="0">
      <selection activeCell="E3" sqref="E3"/>
    </sheetView>
  </sheetViews>
  <sheetFormatPr defaultColWidth="9.109375" defaultRowHeight="13.8" x14ac:dyDescent="0.25"/>
  <cols>
    <col min="1" max="1" width="30.44140625" style="142" customWidth="1"/>
    <col min="2" max="2" width="12.21875" style="142" customWidth="1"/>
    <col min="3" max="3" width="8.88671875" style="142" customWidth="1"/>
    <col min="4" max="4" width="9.109375" style="142" customWidth="1"/>
    <col min="5" max="5" width="12.6640625" style="142" customWidth="1"/>
    <col min="6" max="6" width="13.109375" style="142" bestFit="1" customWidth="1"/>
    <col min="7" max="7" width="14.44140625" style="142" bestFit="1" customWidth="1"/>
    <col min="8" max="8" width="26.88671875" style="142" customWidth="1"/>
    <col min="9" max="9" width="9.5546875" style="142" bestFit="1" customWidth="1"/>
    <col min="10" max="21" width="9.109375" style="142"/>
    <col min="22" max="22" width="12.33203125" style="142" bestFit="1" customWidth="1"/>
    <col min="23" max="16384" width="9.109375" style="142"/>
  </cols>
  <sheetData>
    <row r="1" spans="1:4" ht="27.6" x14ac:dyDescent="0.45">
      <c r="A1" s="150" t="s">
        <v>112</v>
      </c>
    </row>
    <row r="2" spans="1:4" ht="14.4" thickBot="1" x14ac:dyDescent="0.3"/>
    <row r="3" spans="1:4" x14ac:dyDescent="0.25">
      <c r="A3" s="151" t="s">
        <v>55</v>
      </c>
      <c r="B3" s="152"/>
      <c r="C3" s="153"/>
    </row>
    <row r="4" spans="1:4" x14ac:dyDescent="0.25">
      <c r="A4" s="128" t="s">
        <v>27</v>
      </c>
      <c r="B4" s="154">
        <f>Investeringskalkyl!B14</f>
        <v>640</v>
      </c>
      <c r="C4" s="155" t="s">
        <v>37</v>
      </c>
      <c r="D4" s="156"/>
    </row>
    <row r="5" spans="1:4" x14ac:dyDescent="0.25">
      <c r="A5" s="128" t="s">
        <v>115</v>
      </c>
      <c r="B5" s="105">
        <v>0.75</v>
      </c>
      <c r="C5" s="155" t="s">
        <v>116</v>
      </c>
      <c r="D5" s="156"/>
    </row>
    <row r="6" spans="1:4" x14ac:dyDescent="0.25">
      <c r="A6" s="128" t="s">
        <v>117</v>
      </c>
      <c r="B6" s="105">
        <v>16.5</v>
      </c>
      <c r="C6" s="155" t="s">
        <v>116</v>
      </c>
      <c r="D6" s="156"/>
    </row>
    <row r="7" spans="1:4" x14ac:dyDescent="0.25">
      <c r="A7" s="128" t="s">
        <v>118</v>
      </c>
      <c r="B7" s="154">
        <f>B6-B5</f>
        <v>15.75</v>
      </c>
      <c r="C7" s="155" t="s">
        <v>116</v>
      </c>
      <c r="D7" s="156"/>
    </row>
    <row r="8" spans="1:4" ht="15.75" customHeight="1" thickBot="1" x14ac:dyDescent="0.3">
      <c r="A8" s="218" t="s">
        <v>119</v>
      </c>
      <c r="B8" s="193">
        <f>B4*12/B7</f>
        <v>487.61904761904759</v>
      </c>
      <c r="C8" s="157"/>
      <c r="D8" s="156"/>
    </row>
    <row r="9" spans="1:4" ht="14.4" thickBot="1" x14ac:dyDescent="0.3">
      <c r="A9" s="190"/>
    </row>
    <row r="10" spans="1:4" x14ac:dyDescent="0.25">
      <c r="A10" s="137" t="s">
        <v>60</v>
      </c>
      <c r="B10" s="138"/>
    </row>
    <row r="11" spans="1:4" ht="14.4" thickBot="1" x14ac:dyDescent="0.3">
      <c r="A11" s="127" t="s">
        <v>110</v>
      </c>
      <c r="B11" s="87">
        <f>$B$17*$B$8</f>
        <v>779430.32772149262</v>
      </c>
    </row>
    <row r="12" spans="1:4" x14ac:dyDescent="0.25">
      <c r="A12" s="128" t="s">
        <v>111</v>
      </c>
      <c r="B12" s="196">
        <f>$B$11/$G$29</f>
        <v>0.10186344008237271</v>
      </c>
    </row>
    <row r="13" spans="1:4" ht="14.4" thickBot="1" x14ac:dyDescent="0.3">
      <c r="A13" s="129" t="s">
        <v>113</v>
      </c>
      <c r="B13" s="130">
        <f>$G$57+$G$58</f>
        <v>614692.57142857136</v>
      </c>
    </row>
    <row r="14" spans="1:4" ht="27.6" x14ac:dyDescent="0.25">
      <c r="A14" s="137" t="s">
        <v>120</v>
      </c>
      <c r="B14" s="191"/>
    </row>
    <row r="15" spans="1:4" ht="18.75" customHeight="1" x14ac:dyDescent="0.25">
      <c r="A15" s="131" t="s">
        <v>82</v>
      </c>
      <c r="B15" s="86">
        <f>$F$29-$F$48</f>
        <v>7034.33</v>
      </c>
    </row>
    <row r="16" spans="1:4" x14ac:dyDescent="0.25">
      <c r="A16" s="131" t="s">
        <v>83</v>
      </c>
      <c r="B16" s="86">
        <f>$F$29-$F$48-$F$53</f>
        <v>6451.78119028125</v>
      </c>
    </row>
    <row r="17" spans="1:52" ht="14.4" thickBot="1" x14ac:dyDescent="0.3">
      <c r="A17" s="127" t="s">
        <v>84</v>
      </c>
      <c r="B17" s="87">
        <f>$F$29-$F$48-$F53-$F$60</f>
        <v>1598.4411017725924</v>
      </c>
    </row>
    <row r="18" spans="1:52" s="144" customFormat="1" ht="12.15" customHeight="1" x14ac:dyDescent="0.25">
      <c r="A18" s="125"/>
      <c r="B18" s="123"/>
      <c r="C18" s="139"/>
      <c r="D18" s="139"/>
      <c r="E18" s="140"/>
      <c r="F18" s="140"/>
      <c r="G18" s="141"/>
      <c r="H18" s="142"/>
      <c r="I18" s="142"/>
      <c r="J18" s="142"/>
      <c r="K18" s="143"/>
      <c r="M18" s="141"/>
      <c r="N18" s="141"/>
      <c r="O18" s="141"/>
      <c r="P18" s="141"/>
      <c r="Q18" s="141"/>
      <c r="R18" s="141"/>
      <c r="S18" s="141"/>
      <c r="T18" s="141"/>
      <c r="U18" s="141"/>
      <c r="V18" s="141"/>
      <c r="Y18" s="145"/>
      <c r="Z18" s="145"/>
      <c r="AA18" s="145"/>
      <c r="AB18" s="145"/>
      <c r="AC18" s="146"/>
      <c r="AD18" s="146"/>
      <c r="AE18" s="146"/>
      <c r="AF18" s="146"/>
      <c r="AG18" s="146"/>
      <c r="AH18" s="146"/>
      <c r="AI18" s="146"/>
      <c r="AJ18" s="146"/>
      <c r="AK18" s="146"/>
    </row>
    <row r="19" spans="1:52" s="144" customFormat="1" ht="12.15" customHeight="1" x14ac:dyDescent="0.25">
      <c r="A19" s="147"/>
      <c r="B19" s="148"/>
      <c r="C19" s="149"/>
      <c r="D19" s="149"/>
      <c r="E19" s="149"/>
      <c r="F19" s="149"/>
      <c r="G19" s="141"/>
      <c r="H19" s="142"/>
      <c r="I19" s="142"/>
      <c r="J19" s="142"/>
      <c r="K19" s="143"/>
      <c r="M19" s="141"/>
      <c r="N19" s="141"/>
      <c r="O19" s="141"/>
      <c r="P19" s="141"/>
      <c r="Q19" s="141"/>
      <c r="R19" s="141"/>
      <c r="S19" s="141"/>
      <c r="T19" s="141"/>
      <c r="U19" s="141"/>
      <c r="V19" s="141"/>
      <c r="Y19" s="145"/>
      <c r="Z19" s="145"/>
      <c r="AA19" s="145"/>
      <c r="AB19" s="145"/>
      <c r="AC19" s="146"/>
      <c r="AD19" s="146"/>
      <c r="AE19" s="146"/>
      <c r="AF19" s="146"/>
      <c r="AG19" s="146"/>
      <c r="AH19" s="146"/>
      <c r="AI19" s="146"/>
      <c r="AJ19" s="146"/>
      <c r="AK19" s="146"/>
    </row>
    <row r="20" spans="1:52" s="144" customFormat="1" ht="55.2" x14ac:dyDescent="0.25">
      <c r="A20" s="158" t="s">
        <v>93</v>
      </c>
      <c r="B20" s="159" t="s">
        <v>6</v>
      </c>
      <c r="C20" s="160" t="s">
        <v>121</v>
      </c>
      <c r="D20" s="160" t="s">
        <v>26</v>
      </c>
      <c r="E20" s="160" t="s">
        <v>58</v>
      </c>
      <c r="F20" s="160" t="s">
        <v>122</v>
      </c>
      <c r="G20" s="161" t="s">
        <v>80</v>
      </c>
      <c r="H20" s="142"/>
      <c r="I20" s="142"/>
      <c r="J20" s="142"/>
      <c r="K20" s="143"/>
      <c r="M20" s="141"/>
      <c r="N20" s="141"/>
      <c r="O20" s="141"/>
      <c r="P20" s="141"/>
      <c r="Q20" s="141"/>
      <c r="R20" s="141"/>
      <c r="S20" s="141"/>
      <c r="T20" s="141"/>
      <c r="U20" s="141"/>
      <c r="V20" s="141"/>
      <c r="Y20" s="145"/>
      <c r="Z20" s="145"/>
      <c r="AA20" s="145"/>
      <c r="AB20" s="145"/>
      <c r="AC20" s="146"/>
      <c r="AD20" s="146"/>
      <c r="AE20" s="146"/>
      <c r="AF20" s="146"/>
      <c r="AG20" s="146"/>
      <c r="AH20" s="146"/>
      <c r="AI20" s="146"/>
      <c r="AJ20" s="146"/>
      <c r="AK20" s="146"/>
    </row>
    <row r="21" spans="1:52" s="144" customFormat="1" x14ac:dyDescent="0.25">
      <c r="A21" s="64" t="s">
        <v>100</v>
      </c>
      <c r="B21" s="42">
        <v>1</v>
      </c>
      <c r="C21" s="39">
        <v>330</v>
      </c>
      <c r="D21" s="37" t="s">
        <v>41</v>
      </c>
      <c r="E21" s="52">
        <v>46</v>
      </c>
      <c r="F21" s="132">
        <f>C21*E21</f>
        <v>15180</v>
      </c>
      <c r="G21" s="132">
        <f t="shared" ref="G21:G28" si="0">F21*$B$8</f>
        <v>7402057.1428571427</v>
      </c>
      <c r="H21" s="142"/>
      <c r="I21" s="142"/>
      <c r="J21" s="142"/>
      <c r="K21" s="143"/>
      <c r="M21" s="141"/>
      <c r="N21" s="162"/>
      <c r="O21" s="141"/>
      <c r="P21" s="141"/>
      <c r="Q21" s="141"/>
      <c r="R21" s="141"/>
      <c r="S21" s="141"/>
      <c r="T21" s="141"/>
      <c r="U21" s="141"/>
      <c r="V21" s="141"/>
      <c r="Y21" s="145"/>
      <c r="Z21" s="145"/>
      <c r="AA21" s="145"/>
      <c r="AB21" s="145"/>
      <c r="AC21" s="146"/>
      <c r="AD21" s="146"/>
      <c r="AE21" s="146"/>
      <c r="AF21" s="146"/>
      <c r="AG21" s="146"/>
      <c r="AH21" s="146"/>
      <c r="AI21" s="146"/>
      <c r="AJ21" s="146"/>
      <c r="AK21" s="146"/>
    </row>
    <row r="22" spans="1:52" s="144" customFormat="1" x14ac:dyDescent="0.25">
      <c r="A22" s="64" t="s">
        <v>105</v>
      </c>
      <c r="B22" s="42">
        <v>2</v>
      </c>
      <c r="C22" s="38">
        <v>0</v>
      </c>
      <c r="D22" s="41" t="s">
        <v>40</v>
      </c>
      <c r="E22" s="52">
        <v>0</v>
      </c>
      <c r="F22" s="132">
        <f t="shared" ref="F22:F28" si="1">C22*E22</f>
        <v>0</v>
      </c>
      <c r="G22" s="132">
        <f t="shared" si="0"/>
        <v>0</v>
      </c>
      <c r="H22" s="142"/>
      <c r="I22" s="142"/>
      <c r="J22" s="142"/>
      <c r="K22" s="143"/>
      <c r="M22" s="141"/>
      <c r="N22" s="162"/>
      <c r="O22" s="141"/>
      <c r="P22" s="141"/>
      <c r="Q22" s="141"/>
      <c r="R22" s="141"/>
      <c r="S22" s="141"/>
      <c r="T22" s="141"/>
      <c r="U22" s="141"/>
      <c r="V22" s="141"/>
      <c r="Y22" s="145"/>
      <c r="Z22" s="145"/>
      <c r="AA22" s="145"/>
      <c r="AB22" s="145"/>
      <c r="AC22" s="146"/>
      <c r="AD22" s="146"/>
      <c r="AE22" s="146"/>
      <c r="AF22" s="146"/>
      <c r="AG22" s="146"/>
      <c r="AH22" s="146"/>
      <c r="AI22" s="146"/>
      <c r="AJ22" s="146"/>
      <c r="AK22" s="146"/>
    </row>
    <row r="23" spans="1:52" s="144" customFormat="1" x14ac:dyDescent="0.25">
      <c r="A23" s="64" t="s">
        <v>123</v>
      </c>
      <c r="B23" s="42">
        <v>3</v>
      </c>
      <c r="C23" s="39">
        <v>1</v>
      </c>
      <c r="D23" s="41" t="s">
        <v>40</v>
      </c>
      <c r="E23" s="52">
        <v>332</v>
      </c>
      <c r="F23" s="132">
        <f t="shared" si="1"/>
        <v>332</v>
      </c>
      <c r="G23" s="132">
        <f t="shared" si="0"/>
        <v>161889.52380952379</v>
      </c>
      <c r="H23" s="142"/>
      <c r="I23" s="142"/>
      <c r="J23" s="142"/>
      <c r="K23" s="143"/>
      <c r="M23" s="141"/>
      <c r="N23" s="162"/>
      <c r="O23" s="141"/>
      <c r="P23" s="141"/>
      <c r="Q23" s="141"/>
      <c r="R23" s="141"/>
      <c r="S23" s="141"/>
      <c r="T23" s="141"/>
      <c r="U23" s="141"/>
      <c r="V23" s="141"/>
      <c r="Y23" s="145"/>
      <c r="Z23" s="145"/>
      <c r="AA23" s="145"/>
      <c r="AB23" s="145"/>
      <c r="AC23" s="146"/>
      <c r="AD23" s="146"/>
      <c r="AE23" s="146"/>
      <c r="AF23" s="146"/>
      <c r="AG23" s="146"/>
      <c r="AH23" s="146"/>
      <c r="AI23" s="146"/>
      <c r="AJ23" s="146"/>
      <c r="AK23" s="146"/>
    </row>
    <row r="24" spans="1:52" s="144" customFormat="1" x14ac:dyDescent="0.25">
      <c r="A24" s="64" t="s">
        <v>96</v>
      </c>
      <c r="B24" s="42">
        <v>4</v>
      </c>
      <c r="C24" s="38">
        <v>0</v>
      </c>
      <c r="D24" s="41" t="s">
        <v>40</v>
      </c>
      <c r="E24" s="52">
        <v>0</v>
      </c>
      <c r="F24" s="132">
        <f t="shared" si="1"/>
        <v>0</v>
      </c>
      <c r="G24" s="132">
        <f t="shared" si="0"/>
        <v>0</v>
      </c>
      <c r="H24" s="142"/>
      <c r="I24" s="142"/>
      <c r="J24" s="142"/>
      <c r="K24" s="143"/>
      <c r="M24" s="141"/>
      <c r="N24" s="162"/>
      <c r="O24" s="141"/>
      <c r="P24" s="141"/>
      <c r="Q24" s="141"/>
      <c r="R24" s="141"/>
      <c r="S24" s="141"/>
      <c r="T24" s="141"/>
      <c r="U24" s="141"/>
      <c r="V24" s="141"/>
      <c r="Y24" s="145"/>
      <c r="Z24" s="145"/>
      <c r="AA24" s="145"/>
      <c r="AB24" s="145"/>
      <c r="AC24" s="146"/>
      <c r="AD24" s="146"/>
      <c r="AE24" s="146"/>
      <c r="AF24" s="146"/>
      <c r="AG24" s="146"/>
      <c r="AH24" s="146"/>
      <c r="AI24" s="146"/>
      <c r="AJ24" s="146"/>
      <c r="AK24" s="146"/>
    </row>
    <row r="25" spans="1:52" s="144" customFormat="1" ht="27.6" x14ac:dyDescent="0.25">
      <c r="A25" s="64" t="s">
        <v>99</v>
      </c>
      <c r="B25" s="42">
        <v>5</v>
      </c>
      <c r="C25" s="38">
        <v>0</v>
      </c>
      <c r="D25" s="41" t="s">
        <v>40</v>
      </c>
      <c r="E25" s="52">
        <v>0</v>
      </c>
      <c r="F25" s="132">
        <f t="shared" si="1"/>
        <v>0</v>
      </c>
      <c r="G25" s="132">
        <f t="shared" si="0"/>
        <v>0</v>
      </c>
      <c r="H25" s="142"/>
      <c r="I25" s="142"/>
      <c r="J25" s="142"/>
      <c r="K25" s="143"/>
      <c r="M25" s="141"/>
      <c r="N25" s="162"/>
      <c r="O25" s="141"/>
      <c r="P25" s="141"/>
      <c r="Q25" s="141"/>
      <c r="R25" s="141"/>
      <c r="S25" s="141"/>
      <c r="T25" s="141"/>
      <c r="U25" s="141"/>
      <c r="V25" s="141"/>
      <c r="Y25" s="145"/>
      <c r="Z25" s="145"/>
      <c r="AA25" s="145"/>
      <c r="AB25" s="145"/>
      <c r="AC25" s="146"/>
      <c r="AD25" s="146"/>
      <c r="AE25" s="146"/>
      <c r="AF25" s="146"/>
      <c r="AG25" s="146"/>
      <c r="AH25" s="146"/>
      <c r="AI25" s="146"/>
      <c r="AJ25" s="146"/>
      <c r="AK25" s="146"/>
    </row>
    <row r="26" spans="1:52" s="144" customFormat="1" x14ac:dyDescent="0.25">
      <c r="A26" s="64" t="s">
        <v>42</v>
      </c>
      <c r="B26" s="42">
        <v>6</v>
      </c>
      <c r="C26" s="38">
        <v>0</v>
      </c>
      <c r="D26" s="41" t="s">
        <v>40</v>
      </c>
      <c r="E26" s="52">
        <v>0</v>
      </c>
      <c r="F26" s="132">
        <f t="shared" si="1"/>
        <v>0</v>
      </c>
      <c r="G26" s="132">
        <f t="shared" si="0"/>
        <v>0</v>
      </c>
      <c r="H26" s="142"/>
      <c r="I26" s="142"/>
      <c r="J26" s="142"/>
      <c r="K26" s="143"/>
      <c r="M26" s="141"/>
      <c r="N26" s="162"/>
      <c r="O26" s="141"/>
      <c r="P26" s="141"/>
      <c r="Q26" s="141"/>
      <c r="R26" s="141"/>
      <c r="S26" s="141"/>
      <c r="T26" s="141"/>
      <c r="U26" s="141"/>
      <c r="V26" s="141"/>
      <c r="Y26" s="145"/>
      <c r="Z26" s="145"/>
      <c r="AA26" s="145"/>
      <c r="AB26" s="145"/>
      <c r="AC26" s="146"/>
      <c r="AD26" s="146"/>
      <c r="AE26" s="146"/>
      <c r="AF26" s="146"/>
      <c r="AG26" s="146"/>
      <c r="AH26" s="146"/>
      <c r="AI26" s="146"/>
      <c r="AJ26" s="146"/>
      <c r="AK26" s="146"/>
    </row>
    <row r="27" spans="1:52" s="144" customFormat="1" x14ac:dyDescent="0.25">
      <c r="A27" s="64" t="s">
        <v>95</v>
      </c>
      <c r="B27" s="42">
        <v>7</v>
      </c>
      <c r="C27" s="38">
        <v>7.2</v>
      </c>
      <c r="D27" s="41" t="s">
        <v>43</v>
      </c>
      <c r="E27" s="52">
        <v>25</v>
      </c>
      <c r="F27" s="132">
        <f t="shared" si="1"/>
        <v>180</v>
      </c>
      <c r="G27" s="132">
        <f t="shared" si="0"/>
        <v>87771.428571428565</v>
      </c>
      <c r="H27" s="142"/>
      <c r="I27" s="142"/>
      <c r="J27" s="142"/>
      <c r="K27" s="143"/>
      <c r="M27" s="141"/>
      <c r="N27" s="162"/>
      <c r="O27" s="141"/>
      <c r="P27" s="141"/>
      <c r="Q27" s="141"/>
      <c r="R27" s="141"/>
      <c r="S27" s="141"/>
      <c r="T27" s="141"/>
      <c r="U27" s="141"/>
      <c r="V27" s="141"/>
      <c r="Y27" s="145"/>
      <c r="Z27" s="145"/>
      <c r="AA27" s="145"/>
      <c r="AB27" s="145"/>
      <c r="AC27" s="146"/>
      <c r="AD27" s="146"/>
      <c r="AE27" s="146"/>
      <c r="AF27" s="146"/>
      <c r="AG27" s="146"/>
      <c r="AH27" s="146"/>
      <c r="AI27" s="146"/>
      <c r="AJ27" s="146"/>
      <c r="AK27" s="146"/>
      <c r="AZ27" s="141"/>
    </row>
    <row r="28" spans="1:52" s="144" customFormat="1" x14ac:dyDescent="0.25">
      <c r="A28" s="64"/>
      <c r="B28" s="42"/>
      <c r="C28" s="38"/>
      <c r="D28" s="41"/>
      <c r="E28" s="52"/>
      <c r="F28" s="132">
        <f t="shared" si="1"/>
        <v>0</v>
      </c>
      <c r="G28" s="132">
        <f t="shared" si="0"/>
        <v>0</v>
      </c>
      <c r="H28" s="142"/>
      <c r="I28" s="142"/>
      <c r="J28" s="142"/>
      <c r="K28" s="143"/>
      <c r="M28" s="141"/>
      <c r="N28" s="162"/>
      <c r="O28" s="141"/>
      <c r="P28" s="141"/>
      <c r="Q28" s="141"/>
      <c r="R28" s="141"/>
      <c r="S28" s="141"/>
      <c r="T28" s="141"/>
      <c r="U28" s="141"/>
      <c r="V28" s="141"/>
      <c r="Y28" s="145"/>
      <c r="Z28" s="145"/>
      <c r="AA28" s="145"/>
      <c r="AB28" s="145"/>
      <c r="AC28" s="146"/>
      <c r="AD28" s="146"/>
      <c r="AE28" s="146"/>
      <c r="AF28" s="146"/>
      <c r="AG28" s="146"/>
      <c r="AH28" s="146"/>
      <c r="AI28" s="146"/>
      <c r="AJ28" s="146"/>
      <c r="AK28" s="146"/>
      <c r="AZ28" s="141"/>
    </row>
    <row r="29" spans="1:52" s="144" customFormat="1" x14ac:dyDescent="0.25">
      <c r="A29" s="163" t="s">
        <v>81</v>
      </c>
      <c r="B29" s="164"/>
      <c r="C29" s="165"/>
      <c r="D29" s="166"/>
      <c r="E29" s="167"/>
      <c r="F29" s="53">
        <f>SUM(F21:F28)</f>
        <v>15692</v>
      </c>
      <c r="G29" s="53">
        <f>SUM(G21:G28)</f>
        <v>7651718.0952380942</v>
      </c>
      <c r="H29" s="142"/>
      <c r="I29" s="142"/>
      <c r="J29" s="142"/>
      <c r="K29" s="143"/>
      <c r="M29" s="141"/>
      <c r="N29" s="162"/>
      <c r="O29" s="141"/>
      <c r="P29" s="141"/>
      <c r="Q29" s="141"/>
      <c r="R29" s="141"/>
      <c r="S29" s="141"/>
      <c r="T29" s="141"/>
      <c r="U29" s="141"/>
      <c r="V29" s="141"/>
      <c r="Y29" s="145"/>
      <c r="Z29" s="145"/>
      <c r="AA29" s="145"/>
      <c r="AB29" s="145"/>
      <c r="AC29" s="146"/>
      <c r="AD29" s="146"/>
      <c r="AE29" s="146"/>
      <c r="AF29" s="146"/>
      <c r="AG29" s="146"/>
      <c r="AH29" s="146"/>
      <c r="AI29" s="146"/>
      <c r="AJ29" s="146"/>
      <c r="AK29" s="146"/>
      <c r="AZ29" s="141"/>
    </row>
    <row r="30" spans="1:52" s="144" customFormat="1" x14ac:dyDescent="0.25">
      <c r="A30" s="168"/>
      <c r="B30" s="122"/>
      <c r="C30" s="169"/>
      <c r="D30" s="148"/>
      <c r="E30" s="170"/>
      <c r="F30" s="171"/>
      <c r="G30" s="141"/>
      <c r="H30" s="126"/>
      <c r="I30" s="143"/>
      <c r="J30" s="141"/>
      <c r="K30" s="141"/>
      <c r="L30" s="162"/>
      <c r="M30" s="141"/>
      <c r="N30" s="141"/>
      <c r="O30" s="141"/>
      <c r="P30" s="141"/>
      <c r="Q30" s="141"/>
      <c r="R30" s="141"/>
      <c r="S30" s="141"/>
      <c r="T30" s="141"/>
      <c r="W30" s="145"/>
      <c r="X30" s="145"/>
      <c r="Y30" s="145"/>
      <c r="Z30" s="145"/>
      <c r="AA30" s="146"/>
      <c r="AB30" s="146"/>
      <c r="AC30" s="146"/>
      <c r="AD30" s="146"/>
      <c r="AE30" s="146"/>
      <c r="AF30" s="146"/>
      <c r="AG30" s="146"/>
      <c r="AH30" s="146"/>
      <c r="AI30" s="146"/>
      <c r="AX30" s="141"/>
    </row>
    <row r="31" spans="1:52" s="144" customFormat="1" ht="55.2" x14ac:dyDescent="0.25">
      <c r="A31" s="158" t="s">
        <v>94</v>
      </c>
      <c r="B31" s="159" t="s">
        <v>6</v>
      </c>
      <c r="C31" s="160" t="s">
        <v>121</v>
      </c>
      <c r="D31" s="160" t="s">
        <v>26</v>
      </c>
      <c r="E31" s="160" t="s">
        <v>58</v>
      </c>
      <c r="F31" s="160" t="s">
        <v>122</v>
      </c>
      <c r="G31" s="161" t="s">
        <v>80</v>
      </c>
      <c r="H31" s="126"/>
      <c r="I31" s="143"/>
      <c r="J31" s="141"/>
      <c r="K31" s="141"/>
      <c r="L31" s="162"/>
      <c r="M31" s="141"/>
      <c r="N31" s="141"/>
      <c r="O31" s="141"/>
      <c r="P31" s="141"/>
      <c r="Q31" s="141"/>
      <c r="R31" s="141"/>
      <c r="S31" s="141"/>
      <c r="T31" s="141"/>
      <c r="W31" s="145"/>
      <c r="X31" s="145"/>
      <c r="Y31" s="145"/>
      <c r="Z31" s="145"/>
      <c r="AA31" s="146"/>
      <c r="AB31" s="146"/>
      <c r="AC31" s="146"/>
      <c r="AD31" s="146"/>
      <c r="AE31" s="146"/>
      <c r="AF31" s="146"/>
      <c r="AG31" s="146"/>
      <c r="AH31" s="146"/>
      <c r="AI31" s="146"/>
      <c r="AX31" s="141"/>
    </row>
    <row r="32" spans="1:52" s="144" customFormat="1" x14ac:dyDescent="0.25">
      <c r="A32" s="64" t="s">
        <v>124</v>
      </c>
      <c r="B32" s="42">
        <v>8</v>
      </c>
      <c r="C32" s="40">
        <v>1</v>
      </c>
      <c r="D32" s="37" t="s">
        <v>44</v>
      </c>
      <c r="E32" s="52">
        <v>1620</v>
      </c>
      <c r="F32" s="132">
        <f>C32*E32</f>
        <v>1620</v>
      </c>
      <c r="G32" s="132">
        <f t="shared" ref="G32:G47" si="2">F32*$B$8</f>
        <v>789942.85714285704</v>
      </c>
      <c r="H32" s="162"/>
      <c r="I32" s="143"/>
      <c r="J32" s="141"/>
      <c r="K32" s="141"/>
      <c r="L32" s="162"/>
      <c r="M32" s="141"/>
      <c r="N32" s="141"/>
      <c r="O32" s="141"/>
      <c r="P32" s="141"/>
      <c r="Q32" s="141"/>
      <c r="R32" s="141"/>
      <c r="S32" s="141"/>
      <c r="T32" s="141"/>
      <c r="W32" s="145"/>
      <c r="X32" s="145"/>
      <c r="Y32" s="145"/>
      <c r="Z32" s="145"/>
      <c r="AA32" s="146"/>
      <c r="AB32" s="146"/>
      <c r="AC32" s="146"/>
      <c r="AD32" s="146"/>
      <c r="AE32" s="146"/>
      <c r="AF32" s="146"/>
      <c r="AG32" s="146"/>
      <c r="AH32" s="146"/>
      <c r="AI32" s="146"/>
    </row>
    <row r="33" spans="1:35" s="144" customFormat="1" x14ac:dyDescent="0.25">
      <c r="A33" s="64" t="s">
        <v>125</v>
      </c>
      <c r="B33" s="42">
        <v>9</v>
      </c>
      <c r="C33" s="40">
        <v>1</v>
      </c>
      <c r="D33" s="37" t="s">
        <v>40</v>
      </c>
      <c r="E33" s="52">
        <v>250</v>
      </c>
      <c r="F33" s="132">
        <f>C33*E33</f>
        <v>250</v>
      </c>
      <c r="G33" s="132">
        <f t="shared" ref="G33" si="3">F33*$B$8</f>
        <v>121904.76190476189</v>
      </c>
      <c r="H33" s="162"/>
      <c r="I33" s="143"/>
      <c r="J33" s="141"/>
      <c r="K33" s="141"/>
      <c r="L33" s="162"/>
      <c r="M33" s="141"/>
      <c r="N33" s="141"/>
      <c r="O33" s="141"/>
      <c r="P33" s="141"/>
      <c r="Q33" s="141"/>
      <c r="R33" s="141"/>
      <c r="S33" s="141"/>
      <c r="T33" s="141"/>
      <c r="W33" s="145"/>
      <c r="X33" s="145"/>
      <c r="Y33" s="145"/>
      <c r="Z33" s="145"/>
      <c r="AA33" s="146"/>
      <c r="AB33" s="146"/>
      <c r="AC33" s="146"/>
      <c r="AD33" s="146"/>
      <c r="AE33" s="146"/>
      <c r="AF33" s="146"/>
      <c r="AG33" s="146"/>
      <c r="AH33" s="146"/>
      <c r="AI33" s="146"/>
    </row>
    <row r="34" spans="1:35" s="144" customFormat="1" x14ac:dyDescent="0.25">
      <c r="A34" s="64" t="s">
        <v>241</v>
      </c>
      <c r="B34" s="42">
        <v>10</v>
      </c>
      <c r="C34" s="39">
        <v>0.03</v>
      </c>
      <c r="D34" s="37" t="s">
        <v>40</v>
      </c>
      <c r="E34" s="52">
        <f>(F32+F33)*1.5</f>
        <v>2805</v>
      </c>
      <c r="F34" s="132">
        <f>C34*E34</f>
        <v>84.149999999999991</v>
      </c>
      <c r="G34" s="132">
        <f t="shared" ref="G34" si="4">F34*$B$8</f>
        <v>41033.142857142848</v>
      </c>
      <c r="H34" s="162"/>
      <c r="I34" s="143"/>
      <c r="J34" s="141"/>
      <c r="K34" s="141"/>
      <c r="L34" s="162"/>
      <c r="M34" s="141"/>
      <c r="N34" s="141"/>
      <c r="O34" s="141"/>
      <c r="P34" s="141"/>
      <c r="Q34" s="141"/>
      <c r="R34" s="141"/>
      <c r="S34" s="141"/>
      <c r="T34" s="141"/>
      <c r="W34" s="145"/>
      <c r="X34" s="145"/>
      <c r="Y34" s="145"/>
      <c r="Z34" s="145"/>
      <c r="AA34" s="146"/>
      <c r="AB34" s="146"/>
      <c r="AC34" s="146"/>
      <c r="AD34" s="146"/>
      <c r="AE34" s="146"/>
      <c r="AF34" s="146"/>
      <c r="AG34" s="146"/>
      <c r="AH34" s="146"/>
      <c r="AI34" s="146"/>
    </row>
    <row r="35" spans="1:35" s="144" customFormat="1" x14ac:dyDescent="0.25">
      <c r="A35" s="64" t="s">
        <v>223</v>
      </c>
      <c r="B35" s="42">
        <v>11</v>
      </c>
      <c r="C35" s="40">
        <v>1322</v>
      </c>
      <c r="D35" s="37" t="s">
        <v>44</v>
      </c>
      <c r="E35" s="52">
        <v>1.1499999999999999</v>
      </c>
      <c r="F35" s="132">
        <f t="shared" ref="F35:F47" si="5">C35*E35</f>
        <v>1520.3</v>
      </c>
      <c r="G35" s="132">
        <f t="shared" si="2"/>
        <v>741327.23809523799</v>
      </c>
      <c r="H35" s="162"/>
      <c r="I35" s="143"/>
      <c r="J35" s="141"/>
      <c r="K35" s="141"/>
      <c r="L35" s="162"/>
      <c r="M35" s="141"/>
      <c r="N35" s="141"/>
      <c r="O35" s="141"/>
      <c r="P35" s="141"/>
      <c r="Q35" s="141"/>
      <c r="R35" s="141"/>
      <c r="S35" s="141"/>
      <c r="T35" s="141"/>
      <c r="W35" s="145"/>
      <c r="X35" s="145"/>
      <c r="Y35" s="145"/>
      <c r="Z35" s="145"/>
      <c r="AA35" s="146"/>
      <c r="AB35" s="146"/>
      <c r="AC35" s="146"/>
      <c r="AD35" s="146"/>
      <c r="AE35" s="146"/>
      <c r="AF35" s="146"/>
      <c r="AG35" s="146"/>
      <c r="AH35" s="146"/>
      <c r="AI35" s="146"/>
    </row>
    <row r="36" spans="1:35" s="144" customFormat="1" x14ac:dyDescent="0.25">
      <c r="A36" s="64" t="s">
        <v>235</v>
      </c>
      <c r="B36" s="42">
        <v>12</v>
      </c>
      <c r="C36" s="40">
        <v>202</v>
      </c>
      <c r="D36" s="37" t="s">
        <v>44</v>
      </c>
      <c r="E36" s="52">
        <v>3.11</v>
      </c>
      <c r="F36" s="132">
        <f t="shared" si="5"/>
        <v>628.22</v>
      </c>
      <c r="G36" s="132">
        <f t="shared" si="2"/>
        <v>306332.03809523809</v>
      </c>
      <c r="H36" s="162"/>
      <c r="I36" s="143"/>
      <c r="J36" s="141"/>
      <c r="K36" s="141"/>
      <c r="L36" s="162"/>
      <c r="M36" s="141"/>
      <c r="N36" s="141"/>
      <c r="O36" s="141"/>
      <c r="P36" s="141"/>
      <c r="Q36" s="141"/>
      <c r="R36" s="141"/>
      <c r="S36" s="141"/>
      <c r="T36" s="141"/>
      <c r="W36" s="145"/>
      <c r="X36" s="145"/>
      <c r="Y36" s="145"/>
      <c r="Z36" s="145"/>
      <c r="AA36" s="146"/>
      <c r="AB36" s="146"/>
      <c r="AC36" s="146"/>
      <c r="AD36" s="146"/>
      <c r="AE36" s="146"/>
      <c r="AF36" s="146"/>
      <c r="AG36" s="146"/>
      <c r="AH36" s="146"/>
      <c r="AI36" s="146"/>
    </row>
    <row r="37" spans="1:35" s="144" customFormat="1" x14ac:dyDescent="0.25">
      <c r="A37" s="144" t="s">
        <v>234</v>
      </c>
      <c r="B37" s="42">
        <v>13</v>
      </c>
      <c r="C37" s="40">
        <v>35</v>
      </c>
      <c r="D37" s="37" t="s">
        <v>44</v>
      </c>
      <c r="E37" s="52">
        <v>20</v>
      </c>
      <c r="F37" s="132">
        <f t="shared" ref="F37" si="6">C37*E37</f>
        <v>700</v>
      </c>
      <c r="G37" s="132">
        <f t="shared" ref="G37" si="7">F37*$B$8</f>
        <v>341333.33333333331</v>
      </c>
      <c r="H37" s="162"/>
      <c r="I37" s="143"/>
      <c r="J37" s="141"/>
      <c r="K37" s="141"/>
      <c r="L37" s="162"/>
      <c r="M37" s="141"/>
      <c r="N37" s="141"/>
      <c r="O37" s="141"/>
      <c r="P37" s="141"/>
      <c r="Q37" s="141"/>
      <c r="R37" s="141"/>
      <c r="S37" s="141"/>
      <c r="T37" s="141"/>
      <c r="W37" s="145"/>
      <c r="X37" s="145"/>
      <c r="Y37" s="145"/>
      <c r="Z37" s="145"/>
      <c r="AA37" s="146"/>
      <c r="AB37" s="146"/>
      <c r="AC37" s="146"/>
      <c r="AD37" s="146"/>
      <c r="AE37" s="146"/>
      <c r="AF37" s="146"/>
      <c r="AG37" s="146"/>
      <c r="AH37" s="146"/>
      <c r="AI37" s="146"/>
    </row>
    <row r="38" spans="1:35" s="144" customFormat="1" x14ac:dyDescent="0.25">
      <c r="A38" s="64" t="s">
        <v>126</v>
      </c>
      <c r="B38" s="42">
        <v>14</v>
      </c>
      <c r="C38" s="40">
        <v>1820</v>
      </c>
      <c r="D38" s="37" t="s">
        <v>44</v>
      </c>
      <c r="E38" s="52">
        <v>1.2</v>
      </c>
      <c r="F38" s="132">
        <f t="shared" ref="F38" si="8">C38*E38</f>
        <v>2184</v>
      </c>
      <c r="G38" s="132">
        <f t="shared" ref="G38" si="9">F38*$B$8</f>
        <v>1064960</v>
      </c>
      <c r="H38" s="162"/>
      <c r="I38" s="143"/>
      <c r="J38" s="141"/>
      <c r="K38" s="141"/>
      <c r="L38" s="162"/>
      <c r="M38" s="141"/>
      <c r="N38" s="141"/>
      <c r="O38" s="141"/>
      <c r="P38" s="141"/>
      <c r="Q38" s="141"/>
      <c r="R38" s="141"/>
      <c r="S38" s="141"/>
      <c r="T38" s="141"/>
      <c r="W38" s="145"/>
      <c r="X38" s="145"/>
      <c r="Y38" s="145"/>
      <c r="Z38" s="145"/>
      <c r="AA38" s="146"/>
      <c r="AB38" s="146"/>
      <c r="AC38" s="146"/>
      <c r="AD38" s="146"/>
      <c r="AE38" s="146"/>
      <c r="AF38" s="146"/>
      <c r="AG38" s="146"/>
      <c r="AH38" s="146"/>
      <c r="AI38" s="146"/>
    </row>
    <row r="39" spans="1:35" s="144" customFormat="1" x14ac:dyDescent="0.25">
      <c r="A39" s="64" t="s">
        <v>107</v>
      </c>
      <c r="B39" s="42">
        <v>15</v>
      </c>
      <c r="C39" s="40">
        <v>300</v>
      </c>
      <c r="D39" s="37" t="s">
        <v>44</v>
      </c>
      <c r="E39" s="52">
        <v>2.91</v>
      </c>
      <c r="F39" s="132">
        <f t="shared" si="5"/>
        <v>873</v>
      </c>
      <c r="G39" s="132">
        <f t="shared" si="2"/>
        <v>425691.42857142852</v>
      </c>
      <c r="H39" s="162"/>
      <c r="I39" s="143"/>
      <c r="J39" s="141"/>
      <c r="K39" s="141"/>
      <c r="L39" s="162"/>
      <c r="M39" s="141"/>
      <c r="N39" s="141"/>
      <c r="O39" s="141"/>
      <c r="P39" s="141"/>
      <c r="Q39" s="141"/>
      <c r="R39" s="141"/>
      <c r="S39" s="141"/>
      <c r="T39" s="141"/>
      <c r="W39" s="145"/>
      <c r="X39" s="145"/>
      <c r="Y39" s="145"/>
      <c r="Z39" s="145"/>
      <c r="AA39" s="146"/>
      <c r="AB39" s="146"/>
      <c r="AC39" s="146"/>
      <c r="AD39" s="146"/>
      <c r="AE39" s="146"/>
      <c r="AF39" s="146"/>
      <c r="AG39" s="146"/>
      <c r="AH39" s="146"/>
      <c r="AI39" s="146"/>
    </row>
    <row r="40" spans="1:35" s="144" customFormat="1" x14ac:dyDescent="0.25">
      <c r="A40" s="64" t="s">
        <v>97</v>
      </c>
      <c r="B40" s="42">
        <v>16</v>
      </c>
      <c r="C40" s="40">
        <v>20</v>
      </c>
      <c r="D40" s="37" t="s">
        <v>44</v>
      </c>
      <c r="E40" s="52">
        <v>7.43</v>
      </c>
      <c r="F40" s="132">
        <f t="shared" si="5"/>
        <v>148.6</v>
      </c>
      <c r="G40" s="132">
        <f t="shared" si="2"/>
        <v>72460.190476190473</v>
      </c>
      <c r="H40" s="162"/>
      <c r="I40" s="143"/>
      <c r="J40" s="141"/>
      <c r="K40" s="141"/>
      <c r="L40" s="162"/>
      <c r="M40" s="141"/>
      <c r="N40" s="141"/>
      <c r="O40" s="141"/>
      <c r="P40" s="141"/>
      <c r="Q40" s="141"/>
      <c r="R40" s="141"/>
      <c r="S40" s="141"/>
      <c r="T40" s="141"/>
      <c r="W40" s="145"/>
      <c r="X40" s="145"/>
      <c r="Y40" s="145"/>
      <c r="Z40" s="145"/>
      <c r="AA40" s="146"/>
      <c r="AB40" s="146"/>
      <c r="AC40" s="146"/>
      <c r="AD40" s="146"/>
      <c r="AE40" s="146"/>
      <c r="AF40" s="146"/>
      <c r="AG40" s="146"/>
      <c r="AH40" s="146"/>
      <c r="AI40" s="146"/>
    </row>
    <row r="41" spans="1:35" s="144" customFormat="1" x14ac:dyDescent="0.25">
      <c r="A41" s="64" t="s">
        <v>45</v>
      </c>
      <c r="B41" s="42">
        <v>17</v>
      </c>
      <c r="C41" s="40">
        <v>285</v>
      </c>
      <c r="D41" s="37" t="s">
        <v>44</v>
      </c>
      <c r="E41" s="52">
        <v>0.6</v>
      </c>
      <c r="F41" s="132">
        <f t="shared" si="5"/>
        <v>171</v>
      </c>
      <c r="G41" s="132">
        <f t="shared" si="2"/>
        <v>83382.857142857145</v>
      </c>
      <c r="H41" s="162"/>
      <c r="I41" s="143"/>
      <c r="J41" s="141"/>
      <c r="K41" s="141"/>
      <c r="L41" s="162"/>
      <c r="M41" s="141"/>
      <c r="N41" s="141"/>
      <c r="O41" s="141"/>
      <c r="P41" s="141"/>
      <c r="Q41" s="141"/>
      <c r="R41" s="141"/>
      <c r="S41" s="141"/>
      <c r="T41" s="141"/>
      <c r="W41" s="145"/>
      <c r="X41" s="145"/>
      <c r="Y41" s="145"/>
      <c r="Z41" s="145"/>
      <c r="AA41" s="146"/>
      <c r="AB41" s="146"/>
      <c r="AC41" s="146"/>
      <c r="AD41" s="146"/>
      <c r="AE41" s="146"/>
      <c r="AF41" s="146"/>
      <c r="AG41" s="146"/>
      <c r="AH41" s="146"/>
      <c r="AI41" s="146"/>
    </row>
    <row r="42" spans="1:35" s="144" customFormat="1" x14ac:dyDescent="0.25">
      <c r="A42" s="64" t="s">
        <v>46</v>
      </c>
      <c r="B42" s="42">
        <v>18</v>
      </c>
      <c r="C42" s="40">
        <v>214</v>
      </c>
      <c r="D42" s="37" t="s">
        <v>47</v>
      </c>
      <c r="E42" s="52">
        <v>0.6</v>
      </c>
      <c r="F42" s="132">
        <f t="shared" si="5"/>
        <v>128.4</v>
      </c>
      <c r="G42" s="132">
        <f t="shared" si="2"/>
        <v>62610.28571428571</v>
      </c>
      <c r="H42" s="162"/>
      <c r="I42" s="143"/>
      <c r="J42" s="141"/>
      <c r="K42" s="141"/>
      <c r="L42" s="162"/>
      <c r="M42" s="141"/>
      <c r="N42" s="141"/>
      <c r="O42" s="141"/>
      <c r="P42" s="141"/>
      <c r="Q42" s="141"/>
      <c r="R42" s="141"/>
      <c r="S42" s="141"/>
      <c r="T42" s="141"/>
      <c r="W42" s="145"/>
      <c r="X42" s="145"/>
      <c r="Y42" s="145"/>
      <c r="Z42" s="145"/>
      <c r="AA42" s="146"/>
      <c r="AB42" s="146"/>
      <c r="AC42" s="146"/>
      <c r="AD42" s="146"/>
      <c r="AE42" s="146"/>
      <c r="AF42" s="146"/>
      <c r="AG42" s="146"/>
      <c r="AH42" s="146"/>
      <c r="AI42" s="146"/>
    </row>
    <row r="43" spans="1:35" s="144" customFormat="1" x14ac:dyDescent="0.25">
      <c r="A43" s="64" t="s">
        <v>101</v>
      </c>
      <c r="B43" s="42">
        <v>19</v>
      </c>
      <c r="C43" s="40">
        <v>1</v>
      </c>
      <c r="D43" s="37" t="s">
        <v>40</v>
      </c>
      <c r="E43" s="52">
        <v>100</v>
      </c>
      <c r="F43" s="132">
        <f t="shared" si="5"/>
        <v>100</v>
      </c>
      <c r="G43" s="132">
        <f t="shared" si="2"/>
        <v>48761.904761904756</v>
      </c>
      <c r="H43" s="162"/>
      <c r="I43" s="143"/>
      <c r="J43" s="141"/>
      <c r="K43" s="141"/>
      <c r="L43" s="162"/>
      <c r="M43" s="141"/>
      <c r="N43" s="141"/>
      <c r="O43" s="141"/>
      <c r="P43" s="141"/>
      <c r="Q43" s="141"/>
      <c r="R43" s="141"/>
      <c r="S43" s="141"/>
      <c r="T43" s="141"/>
      <c r="W43" s="145"/>
      <c r="X43" s="145"/>
      <c r="Y43" s="145"/>
      <c r="Z43" s="145"/>
      <c r="AA43" s="146"/>
      <c r="AB43" s="146"/>
      <c r="AC43" s="146"/>
      <c r="AD43" s="146"/>
      <c r="AE43" s="146"/>
      <c r="AF43" s="146"/>
      <c r="AG43" s="146"/>
      <c r="AH43" s="146"/>
      <c r="AI43" s="146"/>
    </row>
    <row r="44" spans="1:35" s="144" customFormat="1" x14ac:dyDescent="0.25">
      <c r="A44" s="64" t="s">
        <v>48</v>
      </c>
      <c r="B44" s="42">
        <v>20</v>
      </c>
      <c r="C44" s="40">
        <v>1</v>
      </c>
      <c r="D44" s="37" t="s">
        <v>40</v>
      </c>
      <c r="E44" s="52">
        <v>16</v>
      </c>
      <c r="F44" s="132">
        <f t="shared" si="5"/>
        <v>16</v>
      </c>
      <c r="G44" s="132">
        <f t="shared" si="2"/>
        <v>7801.9047619047615</v>
      </c>
      <c r="H44" s="162"/>
      <c r="I44" s="143"/>
      <c r="J44" s="141"/>
      <c r="K44" s="141"/>
      <c r="L44" s="162"/>
      <c r="M44" s="141"/>
      <c r="N44" s="141"/>
      <c r="O44" s="141"/>
      <c r="P44" s="141"/>
      <c r="Q44" s="141"/>
      <c r="R44" s="141"/>
      <c r="S44" s="141"/>
      <c r="T44" s="141"/>
      <c r="W44" s="145"/>
      <c r="X44" s="145"/>
      <c r="Y44" s="145"/>
      <c r="Z44" s="145"/>
      <c r="AA44" s="146"/>
      <c r="AB44" s="146"/>
      <c r="AC44" s="146"/>
      <c r="AD44" s="146"/>
      <c r="AE44" s="146"/>
      <c r="AF44" s="146"/>
      <c r="AG44" s="146"/>
      <c r="AH44" s="146"/>
      <c r="AI44" s="146"/>
    </row>
    <row r="45" spans="1:35" s="144" customFormat="1" ht="27.6" x14ac:dyDescent="0.25">
      <c r="A45" s="64" t="s">
        <v>79</v>
      </c>
      <c r="B45" s="42">
        <v>21</v>
      </c>
      <c r="C45" s="40">
        <v>1</v>
      </c>
      <c r="D45" s="37" t="s">
        <v>40</v>
      </c>
      <c r="E45" s="52">
        <v>64</v>
      </c>
      <c r="F45" s="132">
        <f t="shared" si="5"/>
        <v>64</v>
      </c>
      <c r="G45" s="132">
        <f t="shared" si="2"/>
        <v>31207.619047619046</v>
      </c>
      <c r="H45" s="162"/>
      <c r="I45" s="143"/>
      <c r="J45" s="141"/>
      <c r="K45" s="141"/>
      <c r="L45" s="162"/>
      <c r="M45" s="141"/>
      <c r="N45" s="141"/>
      <c r="O45" s="141"/>
      <c r="P45" s="141"/>
      <c r="Q45" s="141"/>
      <c r="R45" s="141"/>
      <c r="S45" s="141"/>
      <c r="T45" s="141"/>
      <c r="W45" s="145"/>
      <c r="X45" s="145"/>
      <c r="Y45" s="145"/>
      <c r="Z45" s="145"/>
      <c r="AA45" s="146"/>
      <c r="AB45" s="146"/>
      <c r="AC45" s="146"/>
      <c r="AD45" s="146"/>
      <c r="AE45" s="146"/>
      <c r="AF45" s="146"/>
      <c r="AG45" s="146"/>
      <c r="AH45" s="146"/>
      <c r="AI45" s="146"/>
    </row>
    <row r="46" spans="1:35" s="144" customFormat="1" ht="27.6" x14ac:dyDescent="0.25">
      <c r="A46" s="64" t="s">
        <v>240</v>
      </c>
      <c r="B46" s="42">
        <v>22</v>
      </c>
      <c r="C46" s="40">
        <v>1</v>
      </c>
      <c r="D46" s="37" t="s">
        <v>41</v>
      </c>
      <c r="E46" s="52">
        <v>120</v>
      </c>
      <c r="F46" s="132">
        <f t="shared" si="5"/>
        <v>120</v>
      </c>
      <c r="G46" s="132">
        <f t="shared" si="2"/>
        <v>58514.28571428571</v>
      </c>
      <c r="H46" s="162"/>
      <c r="I46" s="143"/>
      <c r="J46" s="141"/>
      <c r="K46" s="141"/>
      <c r="L46" s="162"/>
      <c r="M46" s="141"/>
      <c r="N46" s="141"/>
      <c r="O46" s="141"/>
      <c r="P46" s="141"/>
      <c r="Q46" s="141"/>
      <c r="R46" s="141"/>
      <c r="S46" s="141"/>
      <c r="T46" s="141"/>
      <c r="W46" s="145"/>
      <c r="X46" s="145"/>
      <c r="Y46" s="145"/>
      <c r="Z46" s="145"/>
      <c r="AA46" s="146"/>
      <c r="AB46" s="146"/>
      <c r="AC46" s="146"/>
      <c r="AD46" s="146"/>
      <c r="AE46" s="146"/>
      <c r="AF46" s="146"/>
      <c r="AG46" s="146"/>
      <c r="AH46" s="146"/>
      <c r="AI46" s="146"/>
    </row>
    <row r="47" spans="1:35" s="144" customFormat="1" x14ac:dyDescent="0.25">
      <c r="A47" s="64" t="s">
        <v>59</v>
      </c>
      <c r="B47" s="42">
        <v>23</v>
      </c>
      <c r="C47" s="40">
        <v>1</v>
      </c>
      <c r="D47" s="37" t="s">
        <v>40</v>
      </c>
      <c r="E47" s="52">
        <v>50</v>
      </c>
      <c r="F47" s="132">
        <f t="shared" si="5"/>
        <v>50</v>
      </c>
      <c r="G47" s="132">
        <f t="shared" si="2"/>
        <v>24380.952380952378</v>
      </c>
      <c r="H47" s="162"/>
      <c r="I47" s="143"/>
      <c r="J47" s="141"/>
      <c r="K47" s="141"/>
      <c r="L47" s="162"/>
      <c r="M47" s="141"/>
      <c r="N47" s="141"/>
      <c r="O47" s="141"/>
      <c r="P47" s="141"/>
      <c r="Q47" s="141"/>
      <c r="R47" s="141"/>
      <c r="S47" s="141"/>
      <c r="T47" s="141"/>
      <c r="W47" s="145"/>
      <c r="X47" s="145"/>
      <c r="Y47" s="145"/>
      <c r="Z47" s="145"/>
      <c r="AA47" s="146"/>
      <c r="AB47" s="146"/>
      <c r="AC47" s="146"/>
      <c r="AD47" s="146"/>
      <c r="AE47" s="146"/>
      <c r="AF47" s="146"/>
      <c r="AG47" s="146"/>
      <c r="AH47" s="146"/>
      <c r="AI47" s="146"/>
    </row>
    <row r="48" spans="1:35" s="144" customFormat="1" x14ac:dyDescent="0.25">
      <c r="A48" s="172"/>
      <c r="B48" s="173" t="s">
        <v>49</v>
      </c>
      <c r="C48" s="174"/>
      <c r="D48" s="173"/>
      <c r="E48" s="175"/>
      <c r="F48" s="53">
        <f>SUM(F32:F47)</f>
        <v>8657.67</v>
      </c>
      <c r="G48" s="133">
        <f>F48*$B$8</f>
        <v>4221644.7999999998</v>
      </c>
      <c r="H48" s="162"/>
      <c r="I48" s="143"/>
      <c r="J48" s="141"/>
      <c r="K48" s="141"/>
      <c r="L48" s="162"/>
      <c r="M48" s="141"/>
      <c r="N48" s="141"/>
      <c r="O48" s="141"/>
      <c r="P48" s="141"/>
      <c r="Q48" s="141"/>
      <c r="R48" s="141"/>
      <c r="S48" s="141"/>
      <c r="T48" s="141"/>
      <c r="W48" s="145"/>
      <c r="X48" s="145"/>
      <c r="Y48" s="145"/>
      <c r="Z48" s="145"/>
      <c r="AA48" s="146"/>
      <c r="AB48" s="146"/>
      <c r="AC48" s="146"/>
      <c r="AD48" s="146"/>
      <c r="AE48" s="146"/>
      <c r="AF48" s="146"/>
      <c r="AG48" s="146"/>
      <c r="AH48" s="146"/>
      <c r="AI48" s="146"/>
    </row>
    <row r="49" spans="1:37" s="144" customFormat="1" x14ac:dyDescent="0.25">
      <c r="A49" s="125" t="s">
        <v>92</v>
      </c>
      <c r="B49" s="122">
        <v>24</v>
      </c>
      <c r="C49" s="39">
        <v>0.5</v>
      </c>
      <c r="D49" s="123" t="s">
        <v>57</v>
      </c>
      <c r="E49" s="136">
        <f>IF(Investeringskalkyl!C14="slaktungnöt",Investeringskalkyl!F72)</f>
        <v>29037.992433333333</v>
      </c>
      <c r="F49" s="132">
        <f>C49/100*E49*B4/B8</f>
        <v>190.56182534375</v>
      </c>
      <c r="G49" s="132">
        <f t="shared" ref="G48:G53" si="10">F49*$B$8</f>
        <v>92921.575786666668</v>
      </c>
      <c r="H49" s="162"/>
      <c r="I49" s="143"/>
      <c r="J49" s="141"/>
      <c r="K49" s="141"/>
      <c r="L49" s="162"/>
      <c r="M49" s="141"/>
      <c r="N49" s="141"/>
      <c r="O49" s="141"/>
      <c r="P49" s="141"/>
      <c r="Q49" s="141"/>
      <c r="R49" s="141"/>
      <c r="S49" s="141"/>
      <c r="T49" s="141"/>
      <c r="W49" s="145"/>
      <c r="X49" s="145"/>
      <c r="Y49" s="145"/>
      <c r="Z49" s="145"/>
      <c r="AA49" s="146"/>
      <c r="AB49" s="146"/>
      <c r="AC49" s="146"/>
      <c r="AD49" s="146"/>
      <c r="AE49" s="146"/>
      <c r="AF49" s="146"/>
      <c r="AG49" s="146"/>
      <c r="AH49" s="146"/>
      <c r="AI49" s="146"/>
    </row>
    <row r="50" spans="1:37" s="144" customFormat="1" x14ac:dyDescent="0.25">
      <c r="A50" s="125" t="s">
        <v>50</v>
      </c>
      <c r="B50" s="176"/>
      <c r="C50" s="135">
        <f>($E$32+$E$33)*B7/12</f>
        <v>2454.375</v>
      </c>
      <c r="D50" s="123" t="s">
        <v>40</v>
      </c>
      <c r="E50" s="194">
        <f>Investeringskalkyl!$B$23</f>
        <v>0.05</v>
      </c>
      <c r="F50" s="132">
        <f t="shared" ref="F50:F52" si="11">C50*E50</f>
        <v>122.71875</v>
      </c>
      <c r="G50" s="132">
        <f t="shared" si="10"/>
        <v>59840</v>
      </c>
      <c r="H50" s="162"/>
      <c r="I50" s="143"/>
      <c r="J50" s="141"/>
      <c r="K50" s="141"/>
      <c r="L50" s="162"/>
      <c r="M50" s="141"/>
      <c r="N50" s="141"/>
      <c r="O50" s="141"/>
      <c r="P50" s="141"/>
      <c r="Q50" s="141"/>
      <c r="R50" s="141"/>
      <c r="S50" s="141"/>
      <c r="T50" s="141"/>
      <c r="V50" s="217"/>
      <c r="W50" s="145"/>
      <c r="X50" s="145"/>
      <c r="Y50" s="145"/>
      <c r="Z50" s="145"/>
      <c r="AA50" s="146"/>
      <c r="AB50" s="146"/>
      <c r="AC50" s="146"/>
      <c r="AD50" s="146"/>
      <c r="AE50" s="146"/>
      <c r="AF50" s="146"/>
      <c r="AG50" s="146"/>
      <c r="AH50" s="146"/>
      <c r="AI50" s="146"/>
    </row>
    <row r="51" spans="1:37" s="144" customFormat="1" x14ac:dyDescent="0.25">
      <c r="A51" s="125" t="s">
        <v>103</v>
      </c>
      <c r="B51" s="176"/>
      <c r="C51" s="135">
        <f>(($F$48-$F$32-$F$33)+SUM(F55:F59))/2*B7/12</f>
        <v>5385.3646875000004</v>
      </c>
      <c r="D51" s="123" t="s">
        <v>40</v>
      </c>
      <c r="E51" s="194">
        <f>Investeringskalkyl!$B$23</f>
        <v>0.05</v>
      </c>
      <c r="F51" s="132">
        <f t="shared" si="11"/>
        <v>269.26823437500002</v>
      </c>
      <c r="G51" s="132">
        <f t="shared" si="10"/>
        <v>131300.32</v>
      </c>
      <c r="H51" s="162"/>
      <c r="I51" s="143"/>
      <c r="J51" s="141"/>
      <c r="K51" s="141"/>
      <c r="L51" s="162"/>
      <c r="M51" s="141"/>
      <c r="N51" s="141"/>
      <c r="O51" s="141"/>
      <c r="P51" s="141"/>
      <c r="Q51" s="141"/>
      <c r="R51" s="141"/>
      <c r="S51" s="141"/>
      <c r="T51" s="141"/>
      <c r="W51" s="145"/>
      <c r="X51" s="145"/>
      <c r="Y51" s="145"/>
      <c r="Z51" s="145"/>
      <c r="AA51" s="146"/>
      <c r="AB51" s="146"/>
      <c r="AC51" s="146"/>
      <c r="AD51" s="146"/>
      <c r="AE51" s="146"/>
      <c r="AF51" s="146"/>
      <c r="AG51" s="146"/>
      <c r="AH51" s="146"/>
      <c r="AI51" s="146"/>
    </row>
    <row r="52" spans="1:37" s="144" customFormat="1" x14ac:dyDescent="0.25">
      <c r="A52" s="64"/>
      <c r="B52" s="48"/>
      <c r="C52" s="40"/>
      <c r="D52" s="41"/>
      <c r="E52" s="83"/>
      <c r="F52" s="132">
        <f t="shared" si="11"/>
        <v>0</v>
      </c>
      <c r="G52" s="132">
        <f t="shared" si="10"/>
        <v>0</v>
      </c>
      <c r="H52" s="162"/>
      <c r="I52" s="143"/>
      <c r="J52" s="141"/>
      <c r="K52" s="141"/>
      <c r="L52" s="162"/>
      <c r="M52" s="141"/>
      <c r="N52" s="141"/>
      <c r="O52" s="141"/>
      <c r="P52" s="141"/>
      <c r="Q52" s="141"/>
      <c r="R52" s="141"/>
      <c r="S52" s="141"/>
      <c r="T52" s="141"/>
      <c r="W52" s="145"/>
      <c r="X52" s="145"/>
      <c r="Y52" s="145"/>
      <c r="Z52" s="145"/>
      <c r="AA52" s="146"/>
      <c r="AB52" s="146"/>
      <c r="AC52" s="146"/>
      <c r="AD52" s="146"/>
      <c r="AE52" s="146"/>
      <c r="AF52" s="146"/>
      <c r="AG52" s="146"/>
      <c r="AH52" s="146"/>
      <c r="AI52" s="146"/>
    </row>
    <row r="53" spans="1:37" s="144" customFormat="1" x14ac:dyDescent="0.25">
      <c r="A53" s="177"/>
      <c r="B53" s="173" t="s">
        <v>51</v>
      </c>
      <c r="C53" s="178" t="s">
        <v>39</v>
      </c>
      <c r="D53" s="173"/>
      <c r="E53" s="175" t="s">
        <v>39</v>
      </c>
      <c r="F53" s="53">
        <f>SUM(F49:F52)</f>
        <v>582.54880971875002</v>
      </c>
      <c r="G53" s="133">
        <f>F53*$B$8</f>
        <v>284061.89578666666</v>
      </c>
      <c r="H53" s="162"/>
      <c r="I53" s="143"/>
      <c r="J53" s="141"/>
      <c r="K53" s="141"/>
      <c r="L53" s="162"/>
      <c r="M53" s="141"/>
      <c r="N53" s="141"/>
      <c r="O53" s="141"/>
      <c r="P53" s="141"/>
      <c r="Q53" s="141"/>
      <c r="R53" s="141"/>
      <c r="S53" s="141"/>
      <c r="T53" s="141"/>
      <c r="W53" s="145"/>
      <c r="X53" s="145"/>
      <c r="Y53" s="145"/>
      <c r="Z53" s="145"/>
      <c r="AA53" s="146"/>
      <c r="AB53" s="146"/>
      <c r="AC53" s="146"/>
      <c r="AD53" s="146"/>
      <c r="AE53" s="146"/>
      <c r="AF53" s="146"/>
      <c r="AG53" s="146"/>
      <c r="AH53" s="146"/>
      <c r="AI53" s="146"/>
    </row>
    <row r="54" spans="1:37" s="144" customFormat="1" x14ac:dyDescent="0.25">
      <c r="A54" s="125" t="s">
        <v>52</v>
      </c>
      <c r="B54" s="176" t="s">
        <v>65</v>
      </c>
      <c r="C54" s="40">
        <f>IF(Investeringskalkyl!$C$14="slaktungnöt",1,0)</f>
        <v>1</v>
      </c>
      <c r="D54" s="124" t="s">
        <v>40</v>
      </c>
      <c r="E54" s="136">
        <f>Investeringskalkyl!$F$73*(Investeringskalkyl!$B$23/(1-(1+Investeringskalkyl!$B$23)^(-Investeringskalkyl!$B$26)))</f>
        <v>2616.9448293399287</v>
      </c>
      <c r="F54" s="132">
        <f>C54*E54*B4/B8</f>
        <v>3434.7400885086568</v>
      </c>
      <c r="G54" s="132">
        <f t="shared" ref="G54:G59" si="12">F54*$B$8</f>
        <v>1674844.6907775544</v>
      </c>
      <c r="H54" s="162"/>
      <c r="I54" s="143"/>
      <c r="J54" s="141"/>
      <c r="K54" s="141"/>
      <c r="L54" s="162"/>
      <c r="M54" s="141"/>
      <c r="N54" s="141"/>
      <c r="O54" s="141"/>
      <c r="P54" s="141"/>
      <c r="Q54" s="141"/>
      <c r="R54" s="141"/>
      <c r="S54" s="141"/>
      <c r="T54" s="141"/>
      <c r="V54" s="217"/>
      <c r="W54" s="145"/>
      <c r="X54" s="145"/>
      <c r="Y54" s="145"/>
      <c r="Z54" s="145"/>
      <c r="AA54" s="146"/>
      <c r="AB54" s="146"/>
      <c r="AC54" s="146"/>
      <c r="AD54" s="146"/>
      <c r="AE54" s="146"/>
      <c r="AF54" s="146"/>
      <c r="AG54" s="146"/>
      <c r="AH54" s="146"/>
      <c r="AI54" s="146"/>
    </row>
    <row r="55" spans="1:37" s="144" customFormat="1" x14ac:dyDescent="0.25">
      <c r="A55" s="64" t="s">
        <v>61</v>
      </c>
      <c r="B55" s="42">
        <v>25</v>
      </c>
      <c r="C55" s="40">
        <v>1</v>
      </c>
      <c r="D55" s="37" t="s">
        <v>39</v>
      </c>
      <c r="E55" s="50">
        <v>38</v>
      </c>
      <c r="F55" s="132">
        <f t="shared" ref="F55:F59" si="13">C55*E55</f>
        <v>38</v>
      </c>
      <c r="G55" s="132">
        <f t="shared" si="12"/>
        <v>18529.523809523809</v>
      </c>
      <c r="H55" s="162"/>
      <c r="I55" s="143"/>
      <c r="J55" s="141"/>
      <c r="K55" s="141"/>
      <c r="L55" s="162"/>
      <c r="M55" s="141"/>
      <c r="N55" s="141"/>
      <c r="O55" s="141"/>
      <c r="P55" s="141"/>
      <c r="Q55" s="141"/>
      <c r="R55" s="141"/>
      <c r="S55" s="141"/>
      <c r="T55" s="141"/>
      <c r="W55" s="145"/>
      <c r="X55" s="145"/>
      <c r="Y55" s="145"/>
      <c r="Z55" s="145"/>
      <c r="AA55" s="146"/>
      <c r="AB55" s="146"/>
      <c r="AC55" s="146"/>
      <c r="AD55" s="146"/>
      <c r="AE55" s="146"/>
      <c r="AF55" s="146"/>
      <c r="AG55" s="146"/>
      <c r="AH55" s="146"/>
      <c r="AI55" s="146"/>
    </row>
    <row r="56" spans="1:37" s="144" customFormat="1" x14ac:dyDescent="0.25">
      <c r="A56" s="64" t="s">
        <v>62</v>
      </c>
      <c r="B56" s="49">
        <v>26</v>
      </c>
      <c r="C56" s="40">
        <v>1</v>
      </c>
      <c r="D56" s="37"/>
      <c r="E56" s="51">
        <v>120</v>
      </c>
      <c r="F56" s="132">
        <f t="shared" si="13"/>
        <v>120</v>
      </c>
      <c r="G56" s="132">
        <f t="shared" si="12"/>
        <v>58514.28571428571</v>
      </c>
      <c r="H56" s="141"/>
      <c r="I56" s="143"/>
      <c r="J56" s="143"/>
      <c r="K56" s="141"/>
      <c r="L56" s="162"/>
      <c r="M56" s="141"/>
      <c r="N56" s="141"/>
      <c r="O56" s="141"/>
      <c r="P56" s="141"/>
      <c r="Q56" s="141"/>
      <c r="R56" s="141"/>
      <c r="S56" s="141"/>
      <c r="T56" s="141"/>
      <c r="W56" s="145"/>
      <c r="X56" s="145"/>
      <c r="Y56" s="145"/>
      <c r="Z56" s="145"/>
      <c r="AA56" s="146"/>
      <c r="AB56" s="146"/>
      <c r="AC56" s="146"/>
      <c r="AD56" s="146"/>
      <c r="AE56" s="146"/>
      <c r="AF56" s="146"/>
      <c r="AG56" s="146"/>
      <c r="AH56" s="146"/>
      <c r="AI56" s="146"/>
    </row>
    <row r="57" spans="1:37" s="144" customFormat="1" x14ac:dyDescent="0.25">
      <c r="A57" s="64" t="s">
        <v>56</v>
      </c>
      <c r="B57" s="42">
        <v>27</v>
      </c>
      <c r="C57" s="38">
        <v>5.5</v>
      </c>
      <c r="D57" s="37" t="s">
        <v>53</v>
      </c>
      <c r="E57" s="52">
        <v>220</v>
      </c>
      <c r="F57" s="132">
        <f t="shared" si="13"/>
        <v>1210</v>
      </c>
      <c r="G57" s="132">
        <f t="shared" si="12"/>
        <v>590019.04761904757</v>
      </c>
      <c r="H57" s="162"/>
      <c r="I57" s="143"/>
      <c r="J57" s="141"/>
      <c r="K57" s="141"/>
      <c r="L57" s="162"/>
      <c r="M57" s="141"/>
      <c r="N57" s="141"/>
      <c r="O57" s="141"/>
      <c r="P57" s="141"/>
      <c r="Q57" s="141"/>
      <c r="R57" s="141"/>
      <c r="S57" s="141"/>
      <c r="T57" s="141"/>
      <c r="W57" s="145"/>
      <c r="X57" s="145"/>
      <c r="Y57" s="145"/>
      <c r="Z57" s="145"/>
      <c r="AA57" s="146"/>
      <c r="AB57" s="146"/>
      <c r="AC57" s="146"/>
      <c r="AD57" s="146"/>
      <c r="AE57" s="146"/>
      <c r="AF57" s="146"/>
      <c r="AG57" s="146"/>
      <c r="AH57" s="146"/>
      <c r="AI57" s="146"/>
    </row>
    <row r="58" spans="1:37" s="144" customFormat="1" x14ac:dyDescent="0.25">
      <c r="A58" s="64" t="s">
        <v>98</v>
      </c>
      <c r="B58" s="42">
        <v>28</v>
      </c>
      <c r="C58" s="39">
        <v>0.23</v>
      </c>
      <c r="D58" s="37" t="s">
        <v>53</v>
      </c>
      <c r="E58" s="52">
        <v>220</v>
      </c>
      <c r="F58" s="132">
        <f t="shared" si="13"/>
        <v>50.6</v>
      </c>
      <c r="G58" s="132">
        <f t="shared" si="12"/>
        <v>24673.523809523809</v>
      </c>
      <c r="H58" s="162"/>
      <c r="I58" s="143"/>
      <c r="J58" s="141"/>
      <c r="K58" s="141"/>
      <c r="L58" s="162"/>
      <c r="M58" s="141"/>
      <c r="N58" s="141"/>
      <c r="O58" s="141"/>
      <c r="P58" s="141"/>
      <c r="Q58" s="141"/>
      <c r="R58" s="141"/>
      <c r="S58" s="141"/>
      <c r="T58" s="141"/>
      <c r="V58" s="217"/>
      <c r="W58" s="145"/>
      <c r="X58" s="145"/>
      <c r="Y58" s="145"/>
      <c r="Z58" s="145"/>
      <c r="AA58" s="146"/>
      <c r="AB58" s="146"/>
      <c r="AC58" s="146"/>
      <c r="AD58" s="146"/>
      <c r="AE58" s="146"/>
      <c r="AF58" s="146"/>
      <c r="AG58" s="146"/>
      <c r="AH58" s="146"/>
      <c r="AI58" s="146"/>
    </row>
    <row r="59" spans="1:37" s="144" customFormat="1" x14ac:dyDescent="0.25">
      <c r="A59" s="64"/>
      <c r="B59" s="42"/>
      <c r="C59" s="40"/>
      <c r="D59" s="37"/>
      <c r="E59" s="52"/>
      <c r="F59" s="132">
        <f t="shared" si="13"/>
        <v>0</v>
      </c>
      <c r="G59" s="132">
        <f t="shared" si="12"/>
        <v>0</v>
      </c>
      <c r="H59" s="162"/>
      <c r="I59" s="143"/>
      <c r="J59" s="141"/>
      <c r="K59" s="141"/>
      <c r="L59" s="162"/>
      <c r="M59" s="141"/>
      <c r="N59" s="141"/>
      <c r="O59" s="141"/>
      <c r="P59" s="141"/>
      <c r="Q59" s="141"/>
      <c r="R59" s="141"/>
      <c r="S59" s="141"/>
      <c r="T59" s="141"/>
      <c r="W59" s="145"/>
      <c r="X59" s="145"/>
      <c r="Y59" s="145"/>
      <c r="Z59" s="145"/>
      <c r="AA59" s="146"/>
      <c r="AB59" s="146"/>
      <c r="AC59" s="146"/>
      <c r="AD59" s="146"/>
      <c r="AE59" s="146"/>
      <c r="AF59" s="146"/>
      <c r="AG59" s="146"/>
      <c r="AH59" s="146"/>
      <c r="AI59" s="146"/>
    </row>
    <row r="60" spans="1:37" s="144" customFormat="1" x14ac:dyDescent="0.25">
      <c r="A60" s="179"/>
      <c r="B60" s="173" t="s">
        <v>54</v>
      </c>
      <c r="C60" s="174"/>
      <c r="D60" s="173"/>
      <c r="E60" s="180"/>
      <c r="F60" s="53">
        <f>SUM(F54:F59)</f>
        <v>4853.3400885086576</v>
      </c>
      <c r="G60" s="133">
        <f>F60*$B$8</f>
        <v>2366581.0717299357</v>
      </c>
      <c r="H60" s="141"/>
      <c r="I60" s="143"/>
      <c r="J60" s="143"/>
      <c r="K60" s="141"/>
      <c r="L60" s="162"/>
      <c r="M60" s="141"/>
      <c r="N60" s="141"/>
      <c r="O60" s="141"/>
      <c r="P60" s="141"/>
      <c r="Q60" s="141"/>
      <c r="R60" s="141"/>
      <c r="S60" s="141"/>
      <c r="T60" s="141"/>
      <c r="W60" s="145"/>
      <c r="X60" s="145"/>
      <c r="Y60" s="145"/>
      <c r="Z60" s="145"/>
      <c r="AA60" s="146"/>
      <c r="AB60" s="146"/>
      <c r="AC60" s="146"/>
      <c r="AD60" s="146"/>
      <c r="AE60" s="146"/>
      <c r="AF60" s="146"/>
      <c r="AG60" s="146"/>
      <c r="AH60" s="146"/>
      <c r="AI60" s="146"/>
    </row>
    <row r="61" spans="1:37" s="144" customFormat="1" x14ac:dyDescent="0.25">
      <c r="A61" s="172" t="s">
        <v>66</v>
      </c>
      <c r="B61" s="173"/>
      <c r="C61" s="174"/>
      <c r="D61" s="173"/>
      <c r="E61" s="180"/>
      <c r="F61" s="53">
        <f>$F$48+$F$53+$F$60</f>
        <v>14093.558898227408</v>
      </c>
      <c r="G61" s="133">
        <f>F61*B8</f>
        <v>6872287.7675166018</v>
      </c>
      <c r="H61" s="141"/>
      <c r="I61" s="143"/>
      <c r="J61" s="143"/>
      <c r="K61" s="141"/>
      <c r="L61" s="162"/>
      <c r="M61" s="141"/>
      <c r="N61" s="141"/>
      <c r="O61" s="141"/>
      <c r="P61" s="141"/>
      <c r="Q61" s="141"/>
      <c r="R61" s="141"/>
      <c r="S61" s="141"/>
      <c r="T61" s="141"/>
      <c r="W61" s="145"/>
      <c r="X61" s="145"/>
      <c r="Y61" s="145"/>
      <c r="Z61" s="145"/>
      <c r="AA61" s="146"/>
      <c r="AB61" s="146"/>
      <c r="AC61" s="146"/>
      <c r="AD61" s="146"/>
      <c r="AE61" s="146"/>
      <c r="AF61" s="146"/>
      <c r="AG61" s="146"/>
      <c r="AH61" s="146"/>
      <c r="AI61" s="146"/>
    </row>
    <row r="62" spans="1:37" s="144" customFormat="1" x14ac:dyDescent="0.25">
      <c r="A62" s="125"/>
      <c r="B62" s="141"/>
      <c r="C62" s="141"/>
      <c r="D62" s="141"/>
      <c r="E62" s="141"/>
      <c r="F62" s="134"/>
      <c r="G62" s="192"/>
      <c r="H62" s="141"/>
      <c r="I62" s="143"/>
      <c r="J62" s="143"/>
      <c r="K62" s="141"/>
      <c r="L62" s="162"/>
      <c r="M62" s="141"/>
      <c r="N62" s="141"/>
      <c r="O62" s="141"/>
      <c r="P62" s="141"/>
      <c r="Q62" s="141"/>
      <c r="R62" s="141"/>
      <c r="S62" s="141"/>
      <c r="T62" s="141"/>
      <c r="W62" s="145"/>
      <c r="X62" s="145"/>
      <c r="Y62" s="145"/>
      <c r="Z62" s="145"/>
      <c r="AA62" s="146"/>
      <c r="AB62" s="146"/>
      <c r="AC62" s="146"/>
      <c r="AD62" s="146"/>
      <c r="AE62" s="146"/>
      <c r="AF62" s="146"/>
      <c r="AG62" s="146"/>
      <c r="AH62" s="146"/>
      <c r="AI62" s="146"/>
    </row>
    <row r="63" spans="1:37" s="144" customFormat="1" x14ac:dyDescent="0.25">
      <c r="A63" s="181"/>
      <c r="C63" s="141"/>
      <c r="D63" s="141"/>
      <c r="E63" s="182"/>
      <c r="F63" s="126"/>
      <c r="G63" s="141"/>
      <c r="H63" s="183"/>
      <c r="I63" s="183"/>
      <c r="J63" s="141"/>
      <c r="K63" s="143"/>
      <c r="L63" s="143"/>
      <c r="M63" s="143"/>
      <c r="N63" s="162"/>
      <c r="O63" s="141"/>
      <c r="P63" s="141"/>
      <c r="Q63" s="141"/>
      <c r="R63" s="141"/>
      <c r="S63" s="141"/>
      <c r="T63" s="141"/>
      <c r="U63" s="141"/>
      <c r="V63" s="141"/>
      <c r="Y63" s="145"/>
      <c r="Z63" s="145"/>
      <c r="AA63" s="145"/>
      <c r="AB63" s="145"/>
      <c r="AC63" s="146"/>
      <c r="AD63" s="146"/>
      <c r="AE63" s="146"/>
      <c r="AF63" s="146"/>
      <c r="AG63" s="146"/>
      <c r="AH63" s="146"/>
      <c r="AI63" s="146"/>
      <c r="AJ63" s="146"/>
      <c r="AK63" s="146"/>
    </row>
    <row r="64" spans="1:37" s="144" customFormat="1" x14ac:dyDescent="0.25">
      <c r="A64" s="181"/>
      <c r="C64" s="141"/>
      <c r="D64" s="141"/>
      <c r="E64" s="182"/>
      <c r="G64" s="143"/>
      <c r="H64" s="184"/>
      <c r="I64" s="183"/>
      <c r="J64" s="141"/>
      <c r="K64" s="143"/>
      <c r="L64" s="143"/>
      <c r="M64" s="143"/>
      <c r="N64" s="162"/>
      <c r="O64" s="141"/>
      <c r="P64" s="141"/>
      <c r="Q64" s="141"/>
      <c r="R64" s="141"/>
      <c r="S64" s="141"/>
      <c r="T64" s="141"/>
      <c r="U64" s="141"/>
      <c r="V64" s="141"/>
      <c r="Y64" s="145"/>
      <c r="Z64" s="145"/>
      <c r="AA64" s="145"/>
      <c r="AB64" s="145"/>
      <c r="AC64" s="146"/>
      <c r="AD64" s="146"/>
      <c r="AE64" s="146"/>
      <c r="AF64" s="146"/>
      <c r="AG64" s="146"/>
      <c r="AH64" s="146"/>
      <c r="AI64" s="146"/>
      <c r="AJ64" s="146"/>
      <c r="AK64" s="146"/>
    </row>
    <row r="65" spans="1:37" s="144" customFormat="1" x14ac:dyDescent="0.25">
      <c r="A65" s="181"/>
      <c r="C65" s="141"/>
      <c r="D65" s="141"/>
      <c r="E65" s="182"/>
      <c r="G65" s="143"/>
      <c r="H65" s="184"/>
      <c r="I65" s="183"/>
      <c r="J65" s="141"/>
      <c r="K65" s="143"/>
      <c r="L65" s="143"/>
      <c r="M65" s="143"/>
      <c r="N65" s="162"/>
      <c r="O65" s="141"/>
      <c r="P65" s="141"/>
      <c r="Q65" s="141"/>
      <c r="R65" s="141"/>
      <c r="S65" s="141"/>
      <c r="T65" s="141"/>
      <c r="U65" s="141"/>
      <c r="V65" s="141"/>
      <c r="Y65" s="145"/>
      <c r="Z65" s="145"/>
      <c r="AA65" s="145"/>
      <c r="AB65" s="145"/>
      <c r="AC65" s="146"/>
      <c r="AD65" s="146"/>
      <c r="AE65" s="146"/>
      <c r="AF65" s="146"/>
      <c r="AG65" s="146"/>
      <c r="AH65" s="146"/>
      <c r="AI65" s="146"/>
      <c r="AJ65" s="146"/>
      <c r="AK65" s="146"/>
    </row>
    <row r="66" spans="1:37" s="144" customFormat="1" x14ac:dyDescent="0.25">
      <c r="A66" s="181"/>
      <c r="C66" s="141"/>
      <c r="D66" s="141"/>
      <c r="E66" s="182"/>
      <c r="G66" s="143"/>
      <c r="H66" s="183"/>
      <c r="I66" s="183"/>
      <c r="J66" s="141"/>
      <c r="K66" s="143"/>
      <c r="L66" s="143"/>
      <c r="M66" s="143"/>
      <c r="N66" s="162"/>
      <c r="O66" s="141"/>
      <c r="P66" s="141"/>
      <c r="Q66" s="141"/>
      <c r="R66" s="141"/>
      <c r="S66" s="141"/>
      <c r="T66" s="141"/>
      <c r="U66" s="141"/>
      <c r="V66" s="141"/>
      <c r="Y66" s="145"/>
      <c r="Z66" s="145"/>
      <c r="AA66" s="145"/>
      <c r="AB66" s="145"/>
      <c r="AC66" s="146"/>
      <c r="AD66" s="146"/>
      <c r="AE66" s="146"/>
      <c r="AF66" s="146"/>
      <c r="AG66" s="146"/>
      <c r="AH66" s="146"/>
      <c r="AI66" s="146"/>
      <c r="AJ66" s="146"/>
      <c r="AK66" s="146"/>
    </row>
    <row r="67" spans="1:37" s="144" customFormat="1" x14ac:dyDescent="0.25">
      <c r="A67" s="181"/>
      <c r="C67" s="141"/>
      <c r="D67" s="141"/>
      <c r="E67" s="182"/>
      <c r="G67" s="143"/>
      <c r="H67" s="183"/>
      <c r="I67" s="183"/>
      <c r="J67" s="141"/>
      <c r="K67" s="143"/>
      <c r="L67" s="143"/>
      <c r="M67" s="143"/>
      <c r="N67" s="162"/>
      <c r="O67" s="141"/>
      <c r="P67" s="141"/>
      <c r="Q67" s="141"/>
      <c r="R67" s="141"/>
      <c r="S67" s="141"/>
      <c r="T67" s="141"/>
      <c r="U67" s="141"/>
      <c r="V67" s="141"/>
      <c r="Y67" s="145"/>
      <c r="Z67" s="145"/>
      <c r="AA67" s="145"/>
      <c r="AB67" s="145"/>
      <c r="AC67" s="146"/>
      <c r="AD67" s="146"/>
      <c r="AE67" s="146"/>
      <c r="AF67" s="146"/>
      <c r="AG67" s="146"/>
      <c r="AH67" s="146"/>
      <c r="AI67" s="146"/>
      <c r="AJ67" s="146"/>
      <c r="AK67" s="146"/>
    </row>
    <row r="68" spans="1:37" s="144" customFormat="1" x14ac:dyDescent="0.25">
      <c r="A68" s="181"/>
      <c r="C68" s="141"/>
      <c r="D68" s="141"/>
      <c r="E68" s="182"/>
      <c r="G68" s="141"/>
      <c r="H68" s="143"/>
      <c r="I68" s="143"/>
      <c r="J68" s="162"/>
      <c r="K68" s="141"/>
      <c r="L68" s="141"/>
      <c r="M68" s="141"/>
      <c r="N68" s="141"/>
      <c r="O68" s="141"/>
      <c r="P68" s="141"/>
      <c r="Q68" s="141"/>
      <c r="R68" s="141"/>
      <c r="U68" s="145"/>
      <c r="V68" s="145"/>
      <c r="W68" s="145"/>
      <c r="X68" s="145"/>
      <c r="Y68" s="146"/>
      <c r="Z68" s="146"/>
      <c r="AA68" s="146"/>
      <c r="AB68" s="146"/>
      <c r="AC68" s="146"/>
      <c r="AD68" s="146"/>
      <c r="AE68" s="146"/>
      <c r="AF68" s="146"/>
      <c r="AG68" s="146"/>
    </row>
    <row r="69" spans="1:37" s="144" customFormat="1" x14ac:dyDescent="0.25">
      <c r="A69" s="181"/>
      <c r="C69" s="141"/>
      <c r="D69" s="141"/>
      <c r="E69" s="182"/>
      <c r="G69" s="141"/>
      <c r="H69" s="143"/>
      <c r="I69" s="143"/>
      <c r="J69" s="162"/>
      <c r="K69" s="141"/>
      <c r="L69" s="141"/>
      <c r="M69" s="141"/>
      <c r="N69" s="141"/>
      <c r="O69" s="141"/>
      <c r="P69" s="141"/>
      <c r="Q69" s="141"/>
      <c r="R69" s="141"/>
      <c r="U69" s="145"/>
      <c r="V69" s="145"/>
      <c r="W69" s="145"/>
      <c r="X69" s="145"/>
      <c r="Y69" s="146"/>
      <c r="Z69" s="146"/>
      <c r="AA69" s="146"/>
      <c r="AB69" s="146"/>
      <c r="AC69" s="146"/>
      <c r="AD69" s="146"/>
      <c r="AE69" s="146"/>
      <c r="AF69" s="146"/>
      <c r="AG69" s="146"/>
    </row>
    <row r="70" spans="1:37" s="144" customFormat="1" x14ac:dyDescent="0.25">
      <c r="C70" s="141"/>
      <c r="D70" s="141"/>
      <c r="E70" s="182"/>
      <c r="G70" s="141"/>
      <c r="H70" s="143"/>
      <c r="I70" s="143"/>
      <c r="J70" s="162"/>
      <c r="K70" s="141"/>
      <c r="L70" s="141"/>
      <c r="M70" s="141"/>
      <c r="N70" s="141"/>
      <c r="O70" s="141"/>
      <c r="P70" s="141"/>
      <c r="Q70" s="141"/>
      <c r="R70" s="141"/>
      <c r="U70" s="145"/>
      <c r="V70" s="145"/>
      <c r="W70" s="145"/>
      <c r="X70" s="145"/>
      <c r="Y70" s="146"/>
      <c r="Z70" s="146"/>
      <c r="AA70" s="146"/>
      <c r="AB70" s="146"/>
      <c r="AC70" s="146"/>
      <c r="AD70" s="146"/>
      <c r="AE70" s="146"/>
      <c r="AF70" s="146"/>
      <c r="AG70" s="146"/>
    </row>
    <row r="71" spans="1:37" s="144" customFormat="1" x14ac:dyDescent="0.25">
      <c r="C71" s="141"/>
      <c r="D71" s="141"/>
      <c r="E71" s="182"/>
      <c r="G71" s="141"/>
      <c r="H71" s="143"/>
      <c r="I71" s="143"/>
      <c r="J71" s="162"/>
      <c r="K71" s="141"/>
      <c r="L71" s="141"/>
      <c r="M71" s="141"/>
      <c r="N71" s="141"/>
      <c r="O71" s="141"/>
      <c r="P71" s="141"/>
      <c r="Q71" s="141"/>
      <c r="R71" s="141"/>
      <c r="U71" s="145"/>
      <c r="V71" s="145"/>
      <c r="W71" s="145"/>
      <c r="X71" s="145"/>
      <c r="Y71" s="146"/>
      <c r="Z71" s="146"/>
      <c r="AA71" s="146"/>
      <c r="AB71" s="146"/>
      <c r="AC71" s="146"/>
      <c r="AD71" s="146"/>
    </row>
    <row r="72" spans="1:37" s="144" customFormat="1" x14ac:dyDescent="0.25">
      <c r="C72" s="141"/>
      <c r="D72" s="141"/>
      <c r="E72" s="182"/>
      <c r="G72" s="141"/>
      <c r="H72" s="143"/>
      <c r="I72" s="143"/>
      <c r="J72" s="162"/>
      <c r="K72" s="141"/>
      <c r="L72" s="141"/>
      <c r="M72" s="141"/>
      <c r="N72" s="141"/>
      <c r="O72" s="141"/>
      <c r="P72" s="141"/>
      <c r="Q72" s="141"/>
      <c r="R72" s="141"/>
      <c r="U72" s="145"/>
      <c r="V72" s="145"/>
      <c r="W72" s="145"/>
      <c r="X72" s="145"/>
      <c r="Y72" s="146"/>
      <c r="Z72" s="146"/>
      <c r="AA72" s="146"/>
      <c r="AB72" s="146"/>
      <c r="AC72" s="146"/>
      <c r="AD72" s="146"/>
    </row>
    <row r="73" spans="1:37" s="144" customFormat="1" x14ac:dyDescent="0.25">
      <c r="C73" s="141"/>
      <c r="D73" s="141"/>
      <c r="E73" s="182"/>
      <c r="G73" s="141"/>
      <c r="H73" s="143"/>
      <c r="I73" s="143"/>
      <c r="J73" s="162"/>
      <c r="K73" s="141"/>
      <c r="L73" s="141"/>
      <c r="M73" s="141"/>
      <c r="N73" s="141"/>
      <c r="O73" s="141"/>
      <c r="P73" s="141"/>
      <c r="Q73" s="141"/>
      <c r="R73" s="141"/>
      <c r="U73" s="145"/>
      <c r="V73" s="145"/>
      <c r="W73" s="145"/>
      <c r="X73" s="145"/>
      <c r="Y73" s="146"/>
      <c r="Z73" s="146"/>
      <c r="AA73" s="146"/>
      <c r="AB73" s="146"/>
      <c r="AC73" s="146"/>
      <c r="AD73" s="146"/>
    </row>
    <row r="74" spans="1:37" x14ac:dyDescent="0.25">
      <c r="C74" s="141"/>
      <c r="D74" s="141"/>
      <c r="E74" s="182"/>
      <c r="F74" s="144"/>
      <c r="G74" s="141"/>
    </row>
    <row r="75" spans="1:37" x14ac:dyDescent="0.25">
      <c r="C75" s="141"/>
      <c r="D75" s="141"/>
      <c r="E75" s="182"/>
      <c r="F75" s="144"/>
      <c r="G75" s="141"/>
    </row>
    <row r="76" spans="1:37" x14ac:dyDescent="0.25">
      <c r="B76" s="185"/>
    </row>
    <row r="77" spans="1:37" x14ac:dyDescent="0.25">
      <c r="B77" s="185"/>
    </row>
    <row r="78" spans="1:37" x14ac:dyDescent="0.25">
      <c r="B78" s="185"/>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opLeftCell="A51" workbookViewId="0">
      <selection activeCell="G47" sqref="G47"/>
    </sheetView>
  </sheetViews>
  <sheetFormatPr defaultRowHeight="14.4" x14ac:dyDescent="0.3"/>
  <cols>
    <col min="2" max="2" width="40.44140625" customWidth="1"/>
  </cols>
  <sheetData>
    <row r="1" spans="1:12" x14ac:dyDescent="0.3">
      <c r="A1" s="203" t="s">
        <v>229</v>
      </c>
    </row>
    <row r="2" spans="1:12" x14ac:dyDescent="0.3">
      <c r="A2" s="212"/>
      <c r="B2" s="212"/>
      <c r="C2" s="209"/>
      <c r="D2" s="209"/>
      <c r="E2" s="209"/>
      <c r="F2" s="209"/>
      <c r="G2" s="209"/>
      <c r="H2" s="209"/>
      <c r="I2" s="204"/>
      <c r="J2" s="204"/>
      <c r="K2" s="204"/>
      <c r="L2" s="203"/>
    </row>
    <row r="3" spans="1:12" x14ac:dyDescent="0.3">
      <c r="A3" s="211" t="s">
        <v>149</v>
      </c>
      <c r="B3" s="209" t="s">
        <v>100</v>
      </c>
      <c r="C3" s="209" t="s">
        <v>230</v>
      </c>
      <c r="D3" s="209"/>
      <c r="E3" s="209"/>
      <c r="F3" s="209"/>
      <c r="G3" s="209"/>
      <c r="H3" s="209"/>
      <c r="I3" s="204"/>
      <c r="J3" s="204"/>
      <c r="K3" s="204"/>
      <c r="L3" s="203"/>
    </row>
    <row r="4" spans="1:12" x14ac:dyDescent="0.3">
      <c r="A4" s="211"/>
      <c r="B4" s="209"/>
      <c r="C4" s="209" t="s">
        <v>251</v>
      </c>
      <c r="D4" s="209"/>
      <c r="E4" s="209"/>
      <c r="F4" s="209"/>
      <c r="G4" s="209"/>
      <c r="H4" s="209"/>
      <c r="I4" s="204"/>
      <c r="J4" s="204"/>
      <c r="K4" s="204"/>
      <c r="L4" s="203"/>
    </row>
    <row r="5" spans="1:12" s="226" customFormat="1" x14ac:dyDescent="0.3">
      <c r="A5" s="228"/>
      <c r="B5" s="209"/>
      <c r="C5" s="209" t="s">
        <v>252</v>
      </c>
      <c r="D5" s="209"/>
      <c r="E5" s="209"/>
      <c r="F5" s="209"/>
      <c r="G5" s="209"/>
      <c r="H5" s="209"/>
      <c r="I5" s="204"/>
      <c r="J5" s="204"/>
      <c r="K5" s="204"/>
    </row>
    <row r="6" spans="1:12" s="203" customFormat="1" x14ac:dyDescent="0.3">
      <c r="A6" s="211"/>
      <c r="B6" s="209"/>
      <c r="C6" s="209"/>
      <c r="D6" s="209"/>
      <c r="E6" s="209"/>
      <c r="F6" s="209"/>
      <c r="G6" s="209"/>
      <c r="H6" s="209"/>
      <c r="I6" s="204"/>
      <c r="J6" s="204"/>
      <c r="K6" s="204"/>
    </row>
    <row r="7" spans="1:12" s="226" customFormat="1" x14ac:dyDescent="0.3">
      <c r="A7" s="228" t="s">
        <v>150</v>
      </c>
      <c r="B7" s="209" t="s">
        <v>105</v>
      </c>
      <c r="C7" s="209" t="s">
        <v>285</v>
      </c>
      <c r="D7" s="209"/>
      <c r="E7" s="209"/>
      <c r="F7" s="209"/>
      <c r="G7" s="209"/>
      <c r="H7" s="209"/>
      <c r="I7" s="204"/>
      <c r="J7" s="204"/>
      <c r="K7" s="204"/>
    </row>
    <row r="8" spans="1:12" s="226" customFormat="1" x14ac:dyDescent="0.3">
      <c r="A8" s="228"/>
      <c r="B8" s="209"/>
      <c r="C8" s="209"/>
      <c r="D8" s="209"/>
      <c r="E8" s="209"/>
      <c r="F8" s="209"/>
      <c r="G8" s="209"/>
      <c r="H8" s="209"/>
      <c r="I8" s="204"/>
      <c r="J8" s="204"/>
      <c r="K8" s="204"/>
    </row>
    <row r="9" spans="1:12" ht="13.8" customHeight="1" x14ac:dyDescent="0.3">
      <c r="A9" s="228" t="s">
        <v>151</v>
      </c>
      <c r="B9" s="209" t="s">
        <v>123</v>
      </c>
      <c r="C9" s="209" t="s">
        <v>222</v>
      </c>
      <c r="D9" s="209"/>
      <c r="E9" s="209"/>
      <c r="F9" s="209"/>
      <c r="G9" s="209"/>
      <c r="H9" s="209"/>
      <c r="I9" s="204"/>
      <c r="J9" s="204"/>
      <c r="K9" s="204"/>
      <c r="L9" s="203"/>
    </row>
    <row r="10" spans="1:12" x14ac:dyDescent="0.3">
      <c r="A10" s="211"/>
      <c r="B10" s="209"/>
      <c r="C10" s="209"/>
      <c r="D10" s="209"/>
      <c r="E10" s="209"/>
      <c r="F10" s="209"/>
      <c r="G10" s="209"/>
      <c r="H10" s="209"/>
      <c r="I10" s="204"/>
      <c r="J10" s="204"/>
      <c r="K10" s="204"/>
      <c r="L10" s="203"/>
    </row>
    <row r="11" spans="1:12" s="226" customFormat="1" x14ac:dyDescent="0.3">
      <c r="A11" s="228" t="s">
        <v>286</v>
      </c>
      <c r="B11" s="209" t="s">
        <v>287</v>
      </c>
      <c r="C11" s="209" t="s">
        <v>288</v>
      </c>
      <c r="D11" s="209"/>
      <c r="E11" s="209"/>
      <c r="F11" s="209"/>
      <c r="G11" s="209"/>
      <c r="H11" s="209"/>
      <c r="I11" s="204"/>
      <c r="J11" s="204"/>
      <c r="K11" s="204"/>
    </row>
    <row r="12" spans="1:12" s="226" customFormat="1" x14ac:dyDescent="0.3">
      <c r="A12" s="228"/>
      <c r="B12" s="209"/>
      <c r="C12" s="209"/>
      <c r="D12" s="209"/>
      <c r="E12" s="209"/>
      <c r="F12" s="209"/>
      <c r="G12" s="209"/>
      <c r="H12" s="209"/>
      <c r="I12" s="204"/>
      <c r="J12" s="204"/>
      <c r="K12" s="204"/>
    </row>
    <row r="13" spans="1:12" x14ac:dyDescent="0.3">
      <c r="A13" s="228" t="s">
        <v>153</v>
      </c>
      <c r="B13" s="226" t="s">
        <v>99</v>
      </c>
      <c r="C13" s="226" t="s">
        <v>292</v>
      </c>
    </row>
    <row r="14" spans="1:12" x14ac:dyDescent="0.3">
      <c r="A14" s="211"/>
      <c r="B14" s="209"/>
      <c r="J14" s="204"/>
      <c r="K14" s="204"/>
      <c r="L14" s="203"/>
    </row>
    <row r="15" spans="1:12" s="203" customFormat="1" x14ac:dyDescent="0.3">
      <c r="A15" s="228" t="s">
        <v>289</v>
      </c>
      <c r="B15" s="209" t="s">
        <v>42</v>
      </c>
      <c r="C15" s="209" t="s">
        <v>290</v>
      </c>
      <c r="D15" s="209"/>
      <c r="E15" s="209"/>
      <c r="F15" s="209"/>
      <c r="G15" s="209"/>
      <c r="H15" s="209"/>
      <c r="I15" s="204"/>
      <c r="J15" s="204"/>
      <c r="K15" s="204"/>
    </row>
    <row r="16" spans="1:12" s="226" customFormat="1" x14ac:dyDescent="0.3">
      <c r="A16" s="228"/>
      <c r="B16" s="209"/>
      <c r="C16" s="209"/>
      <c r="D16" s="209"/>
      <c r="E16" s="209"/>
      <c r="F16" s="209"/>
      <c r="G16" s="209"/>
      <c r="H16" s="209"/>
      <c r="I16" s="204"/>
      <c r="J16" s="204"/>
      <c r="K16" s="204"/>
    </row>
    <row r="17" spans="1:13" s="226" customFormat="1" x14ac:dyDescent="0.3">
      <c r="A17" s="228" t="s">
        <v>291</v>
      </c>
      <c r="B17" s="209" t="s">
        <v>95</v>
      </c>
      <c r="C17" s="209" t="s">
        <v>266</v>
      </c>
      <c r="D17" s="209"/>
      <c r="E17" s="209"/>
      <c r="F17" s="209"/>
      <c r="G17" s="209"/>
      <c r="H17" s="209"/>
      <c r="I17" s="204"/>
      <c r="J17" s="204"/>
      <c r="K17" s="204"/>
      <c r="L17" s="203"/>
      <c r="M17" s="203"/>
    </row>
    <row r="18" spans="1:13" s="226" customFormat="1" ht="16.2" x14ac:dyDescent="0.3">
      <c r="A18" s="228"/>
      <c r="B18" s="209"/>
      <c r="C18" s="209" t="s">
        <v>267</v>
      </c>
      <c r="D18" s="209"/>
      <c r="E18" s="209"/>
      <c r="F18" s="209"/>
      <c r="G18" s="209"/>
      <c r="H18" s="209"/>
      <c r="I18" s="204"/>
      <c r="J18" s="204"/>
      <c r="K18" s="204"/>
    </row>
    <row r="19" spans="1:13" s="226" customFormat="1" x14ac:dyDescent="0.3">
      <c r="A19" s="228"/>
      <c r="B19" s="209"/>
      <c r="C19" s="209"/>
      <c r="D19" s="209"/>
      <c r="E19" s="209"/>
      <c r="F19" s="209"/>
      <c r="G19" s="209"/>
      <c r="H19" s="209"/>
      <c r="I19" s="204"/>
      <c r="J19" s="204"/>
      <c r="K19" s="204"/>
    </row>
    <row r="20" spans="1:13" x14ac:dyDescent="0.3">
      <c r="A20" s="228" t="s">
        <v>293</v>
      </c>
      <c r="B20" s="209" t="s">
        <v>124</v>
      </c>
      <c r="C20" s="209" t="s">
        <v>231</v>
      </c>
      <c r="D20" s="209"/>
      <c r="E20" s="209"/>
      <c r="F20" s="209"/>
      <c r="G20" s="209"/>
      <c r="H20" s="209"/>
      <c r="I20" s="204"/>
      <c r="J20" s="204"/>
      <c r="K20" s="204"/>
      <c r="L20" s="203"/>
    </row>
    <row r="21" spans="1:13" x14ac:dyDescent="0.3">
      <c r="A21" s="211"/>
      <c r="B21" s="209"/>
      <c r="C21" s="209" t="s">
        <v>253</v>
      </c>
      <c r="D21" s="209"/>
      <c r="E21" s="209"/>
      <c r="F21" s="209"/>
      <c r="G21" s="209"/>
      <c r="H21" s="209"/>
      <c r="I21" s="204"/>
      <c r="J21" s="204"/>
      <c r="K21" s="204"/>
      <c r="L21" s="203"/>
    </row>
    <row r="22" spans="1:13" s="203" customFormat="1" x14ac:dyDescent="0.3"/>
    <row r="23" spans="1:13" x14ac:dyDescent="0.3">
      <c r="A23" s="228" t="s">
        <v>157</v>
      </c>
      <c r="B23" s="209" t="s">
        <v>125</v>
      </c>
      <c r="C23" s="209" t="s">
        <v>232</v>
      </c>
      <c r="D23" s="209"/>
      <c r="E23" s="209"/>
      <c r="F23" s="209"/>
      <c r="G23" s="209"/>
      <c r="H23" s="209"/>
      <c r="I23" s="204"/>
      <c r="J23" s="204"/>
      <c r="K23" s="204"/>
      <c r="L23" s="203"/>
    </row>
    <row r="24" spans="1:13" x14ac:dyDescent="0.3">
      <c r="A24" s="211"/>
      <c r="B24" s="209"/>
      <c r="C24" s="209"/>
      <c r="D24" s="209"/>
      <c r="E24" s="209"/>
      <c r="F24" s="209"/>
      <c r="G24" s="209"/>
      <c r="H24" s="209"/>
      <c r="I24" s="204"/>
      <c r="J24" s="204"/>
      <c r="K24" s="204"/>
      <c r="L24" s="203"/>
    </row>
    <row r="25" spans="1:13" x14ac:dyDescent="0.3">
      <c r="A25" s="228" t="s">
        <v>158</v>
      </c>
      <c r="B25" s="209" t="s">
        <v>241</v>
      </c>
      <c r="C25" s="209" t="s">
        <v>254</v>
      </c>
      <c r="D25" s="209"/>
      <c r="E25" s="213"/>
      <c r="F25" s="213"/>
      <c r="G25" s="209"/>
      <c r="H25" s="209"/>
      <c r="I25" s="204"/>
      <c r="J25" s="204"/>
      <c r="K25" s="204"/>
      <c r="L25" s="203"/>
    </row>
    <row r="26" spans="1:13" x14ac:dyDescent="0.3">
      <c r="A26" s="211"/>
      <c r="B26" s="209"/>
      <c r="C26" s="209"/>
      <c r="D26" s="209"/>
      <c r="E26" s="213"/>
      <c r="F26" s="213"/>
      <c r="G26" s="209"/>
      <c r="H26" s="209"/>
      <c r="I26" s="204"/>
      <c r="J26" s="204"/>
      <c r="K26" s="204"/>
      <c r="L26" s="203"/>
    </row>
    <row r="27" spans="1:13" x14ac:dyDescent="0.3">
      <c r="A27" s="228" t="s">
        <v>294</v>
      </c>
      <c r="B27" s="209" t="s">
        <v>223</v>
      </c>
      <c r="C27" s="213" t="s">
        <v>233</v>
      </c>
      <c r="D27" s="213"/>
      <c r="E27" s="209"/>
      <c r="F27" s="209"/>
      <c r="G27" s="209"/>
      <c r="H27" s="209"/>
      <c r="I27" s="204"/>
      <c r="J27" s="204"/>
      <c r="K27" s="204"/>
      <c r="L27" s="203"/>
    </row>
    <row r="28" spans="1:13" x14ac:dyDescent="0.3">
      <c r="A28" s="211"/>
      <c r="B28" s="209"/>
      <c r="C28" s="213" t="s">
        <v>239</v>
      </c>
      <c r="D28" s="209"/>
      <c r="E28" s="209"/>
      <c r="F28" s="209"/>
      <c r="G28" s="209"/>
      <c r="H28" s="209"/>
      <c r="I28" s="204"/>
      <c r="J28" s="204"/>
      <c r="K28" s="204"/>
      <c r="L28" s="203"/>
    </row>
    <row r="29" spans="1:13" x14ac:dyDescent="0.3">
      <c r="A29" s="228"/>
      <c r="B29" s="209"/>
      <c r="C29" s="209"/>
      <c r="D29" s="209"/>
      <c r="E29" s="209"/>
      <c r="F29" s="209"/>
      <c r="G29" s="209"/>
      <c r="H29" s="209"/>
      <c r="I29" s="204"/>
      <c r="J29" s="204"/>
      <c r="K29" s="204"/>
      <c r="L29" s="203"/>
    </row>
    <row r="30" spans="1:13" x14ac:dyDescent="0.3">
      <c r="A30" s="228" t="s">
        <v>295</v>
      </c>
      <c r="B30" s="209" t="s">
        <v>235</v>
      </c>
      <c r="C30" s="209" t="s">
        <v>236</v>
      </c>
      <c r="D30" s="209"/>
      <c r="E30" s="209"/>
      <c r="F30" s="209"/>
      <c r="G30" s="209"/>
      <c r="H30" s="209"/>
      <c r="I30" s="204"/>
      <c r="J30" s="204"/>
      <c r="K30" s="204"/>
      <c r="L30" s="203"/>
    </row>
    <row r="31" spans="1:13" x14ac:dyDescent="0.3">
      <c r="A31" s="211"/>
      <c r="B31" s="209"/>
      <c r="C31" s="209"/>
      <c r="D31" s="209"/>
      <c r="E31" s="209"/>
      <c r="F31" s="209"/>
      <c r="G31" s="209"/>
      <c r="H31" s="209"/>
      <c r="I31" s="204"/>
      <c r="J31" s="204"/>
      <c r="K31" s="204"/>
      <c r="L31" s="203"/>
    </row>
    <row r="32" spans="1:13" x14ac:dyDescent="0.3">
      <c r="A32" s="228" t="s">
        <v>162</v>
      </c>
      <c r="B32" s="203" t="s">
        <v>234</v>
      </c>
      <c r="C32" s="209" t="s">
        <v>255</v>
      </c>
      <c r="D32" s="209"/>
      <c r="E32" s="209"/>
      <c r="F32" s="209"/>
      <c r="G32" s="209"/>
      <c r="H32" s="209"/>
      <c r="I32" s="204"/>
      <c r="J32" s="204"/>
      <c r="K32" s="204"/>
      <c r="L32" s="203"/>
    </row>
    <row r="33" spans="1:12" x14ac:dyDescent="0.3">
      <c r="B33" s="209"/>
      <c r="C33" s="209" t="s">
        <v>237</v>
      </c>
      <c r="D33" s="209"/>
      <c r="E33" s="209"/>
      <c r="F33" s="209"/>
      <c r="G33" s="213"/>
      <c r="H33" s="213"/>
      <c r="I33" s="214"/>
      <c r="J33" s="214"/>
      <c r="K33" s="204"/>
      <c r="L33" s="203"/>
    </row>
    <row r="34" spans="1:12" x14ac:dyDescent="0.3">
      <c r="A34" s="211"/>
      <c r="B34" s="209"/>
      <c r="C34" s="209"/>
      <c r="D34" s="209"/>
      <c r="E34" s="209"/>
      <c r="F34" s="209"/>
      <c r="G34" s="213"/>
      <c r="H34" s="213"/>
      <c r="I34" s="214"/>
      <c r="J34" s="214"/>
      <c r="K34" s="204"/>
      <c r="L34" s="203"/>
    </row>
    <row r="35" spans="1:12" s="203" customFormat="1" x14ac:dyDescent="0.3">
      <c r="A35" s="228" t="s">
        <v>296</v>
      </c>
      <c r="B35" s="209" t="s">
        <v>126</v>
      </c>
      <c r="C35" s="209" t="s">
        <v>256</v>
      </c>
      <c r="D35" s="209"/>
      <c r="E35" s="209"/>
      <c r="F35" s="209"/>
      <c r="G35" s="213"/>
      <c r="H35" s="213"/>
      <c r="I35" s="214"/>
      <c r="J35" s="214"/>
      <c r="K35" s="204"/>
    </row>
    <row r="36" spans="1:12" x14ac:dyDescent="0.3">
      <c r="A36" s="211"/>
      <c r="B36" s="209"/>
      <c r="C36" s="209"/>
      <c r="D36" s="209"/>
      <c r="E36" s="209"/>
      <c r="F36" s="209"/>
      <c r="G36" s="209"/>
      <c r="H36" s="209"/>
      <c r="I36" s="204"/>
      <c r="J36" s="204"/>
      <c r="K36" s="204"/>
      <c r="L36" s="203"/>
    </row>
    <row r="37" spans="1:12" x14ac:dyDescent="0.3">
      <c r="A37" s="228" t="s">
        <v>164</v>
      </c>
      <c r="B37" s="209" t="s">
        <v>107</v>
      </c>
      <c r="C37" s="209" t="s">
        <v>257</v>
      </c>
      <c r="D37" s="209"/>
      <c r="E37" s="209"/>
      <c r="F37" s="209"/>
      <c r="G37" s="209"/>
      <c r="H37" s="209"/>
      <c r="I37" s="204"/>
      <c r="J37" s="204"/>
      <c r="K37" s="204"/>
      <c r="L37" s="203"/>
    </row>
    <row r="38" spans="1:12" x14ac:dyDescent="0.3">
      <c r="A38" s="211"/>
      <c r="B38" s="209"/>
      <c r="C38" s="209"/>
      <c r="D38" s="209"/>
      <c r="E38" s="209"/>
      <c r="F38" s="209"/>
      <c r="G38" s="209"/>
      <c r="H38" s="209"/>
      <c r="I38" s="204"/>
      <c r="J38" s="204"/>
      <c r="K38" s="204"/>
      <c r="L38" s="203"/>
    </row>
    <row r="39" spans="1:12" s="203" customFormat="1" x14ac:dyDescent="0.3">
      <c r="A39" s="228" t="s">
        <v>165</v>
      </c>
      <c r="B39" s="209" t="s">
        <v>97</v>
      </c>
      <c r="C39" s="209" t="s">
        <v>224</v>
      </c>
      <c r="D39" s="209"/>
      <c r="E39" s="209"/>
      <c r="F39" s="209"/>
      <c r="G39" s="209"/>
      <c r="H39" s="209"/>
      <c r="I39" s="204"/>
      <c r="J39" s="204"/>
      <c r="K39" s="204"/>
    </row>
    <row r="40" spans="1:12" x14ac:dyDescent="0.3">
      <c r="A40" s="211"/>
      <c r="B40" s="209"/>
      <c r="C40" s="209"/>
      <c r="D40" s="209"/>
      <c r="E40" s="213"/>
      <c r="F40" s="209"/>
      <c r="G40" s="209"/>
      <c r="H40" s="209"/>
      <c r="I40" s="204"/>
      <c r="J40" s="204"/>
      <c r="K40" s="204"/>
      <c r="L40" s="203"/>
    </row>
    <row r="41" spans="1:12" s="203" customFormat="1" x14ac:dyDescent="0.3">
      <c r="A41" s="228" t="s">
        <v>297</v>
      </c>
      <c r="B41" s="209" t="s">
        <v>45</v>
      </c>
      <c r="C41" s="209" t="s">
        <v>238</v>
      </c>
      <c r="D41" s="209"/>
      <c r="E41" s="213"/>
      <c r="F41" s="209"/>
      <c r="G41" s="209"/>
      <c r="H41" s="209"/>
      <c r="I41" s="204"/>
      <c r="J41" s="204"/>
      <c r="K41" s="204"/>
    </row>
    <row r="42" spans="1:12" x14ac:dyDescent="0.3">
      <c r="A42" s="211"/>
      <c r="B42" s="209"/>
      <c r="C42" s="209"/>
      <c r="D42" s="213"/>
      <c r="E42" s="209"/>
      <c r="F42" s="209"/>
      <c r="G42" s="209"/>
      <c r="H42" s="209"/>
      <c r="I42" s="204"/>
      <c r="J42" s="204"/>
      <c r="K42" s="204"/>
      <c r="L42" s="203"/>
    </row>
    <row r="43" spans="1:12" s="203" customFormat="1" x14ac:dyDescent="0.3">
      <c r="A43" s="228" t="s">
        <v>167</v>
      </c>
      <c r="B43" s="209" t="s">
        <v>46</v>
      </c>
      <c r="C43" s="213" t="s">
        <v>280</v>
      </c>
      <c r="D43" s="213"/>
      <c r="E43" s="209"/>
      <c r="F43" s="209"/>
      <c r="G43" s="209"/>
      <c r="H43" s="209"/>
      <c r="I43" s="204"/>
      <c r="J43" s="204"/>
      <c r="K43" s="204"/>
    </row>
    <row r="44" spans="1:12" x14ac:dyDescent="0.3">
      <c r="A44" s="211"/>
      <c r="B44" s="209"/>
      <c r="C44" s="213"/>
      <c r="D44" s="209"/>
      <c r="E44" s="209"/>
      <c r="F44" s="209"/>
      <c r="G44" s="209"/>
      <c r="H44" s="209"/>
      <c r="I44" s="204"/>
      <c r="J44" s="204"/>
      <c r="K44" s="204"/>
      <c r="L44" s="203"/>
    </row>
    <row r="45" spans="1:12" s="203" customFormat="1" x14ac:dyDescent="0.3">
      <c r="A45" s="228" t="s">
        <v>298</v>
      </c>
      <c r="B45" s="209" t="s">
        <v>225</v>
      </c>
      <c r="C45" s="209" t="s">
        <v>258</v>
      </c>
      <c r="D45" s="209"/>
      <c r="E45" s="209"/>
      <c r="F45" s="209"/>
      <c r="G45" s="209"/>
      <c r="H45" s="209"/>
      <c r="I45" s="204"/>
      <c r="J45" s="204"/>
      <c r="K45" s="204"/>
    </row>
    <row r="46" spans="1:12" x14ac:dyDescent="0.3">
      <c r="A46" s="211"/>
      <c r="B46" s="209"/>
      <c r="C46" s="209"/>
      <c r="D46" s="209"/>
      <c r="E46" s="209"/>
      <c r="F46" s="209"/>
      <c r="G46" s="209"/>
      <c r="H46" s="209"/>
      <c r="I46" s="204"/>
      <c r="J46" s="204"/>
      <c r="K46" s="204"/>
      <c r="L46" s="203"/>
    </row>
    <row r="47" spans="1:12" s="203" customFormat="1" x14ac:dyDescent="0.3">
      <c r="A47" s="228" t="s">
        <v>169</v>
      </c>
      <c r="B47" s="209" t="s">
        <v>48</v>
      </c>
      <c r="C47" s="209" t="s">
        <v>304</v>
      </c>
      <c r="D47" s="209"/>
      <c r="E47" s="209"/>
      <c r="F47" s="209"/>
      <c r="G47" s="209"/>
      <c r="H47" s="209"/>
      <c r="I47" s="204"/>
      <c r="J47" s="204"/>
      <c r="K47" s="204"/>
    </row>
    <row r="48" spans="1:12" x14ac:dyDescent="0.3">
      <c r="A48" s="211"/>
      <c r="B48" s="209"/>
      <c r="C48" s="209"/>
      <c r="D48" s="209"/>
      <c r="E48" s="209"/>
      <c r="F48" s="209"/>
      <c r="G48" s="209"/>
      <c r="H48" s="209"/>
      <c r="I48" s="204"/>
      <c r="J48" s="204"/>
      <c r="K48" s="204"/>
      <c r="L48" s="203"/>
    </row>
    <row r="49" spans="1:12" s="203" customFormat="1" x14ac:dyDescent="0.3">
      <c r="A49" s="228" t="s">
        <v>299</v>
      </c>
      <c r="B49" s="209" t="s">
        <v>79</v>
      </c>
      <c r="C49" s="209" t="s">
        <v>226</v>
      </c>
      <c r="D49" s="209"/>
      <c r="E49" s="209"/>
      <c r="F49" s="209"/>
      <c r="G49" s="209"/>
      <c r="H49" s="209"/>
      <c r="I49" s="204"/>
      <c r="J49" s="204"/>
      <c r="K49" s="204"/>
    </row>
    <row r="50" spans="1:12" x14ac:dyDescent="0.3">
      <c r="A50" s="211"/>
      <c r="B50" s="209"/>
      <c r="C50" s="209"/>
      <c r="D50" s="209"/>
      <c r="E50" s="209"/>
      <c r="F50" s="209"/>
      <c r="G50" s="209"/>
      <c r="H50" s="209"/>
      <c r="I50" s="204"/>
      <c r="J50" s="204"/>
      <c r="K50" s="204"/>
      <c r="L50" s="203"/>
    </row>
    <row r="51" spans="1:12" s="203" customFormat="1" x14ac:dyDescent="0.3">
      <c r="A51" s="228" t="s">
        <v>171</v>
      </c>
      <c r="B51" s="209" t="s">
        <v>240</v>
      </c>
      <c r="C51" s="209" t="s">
        <v>259</v>
      </c>
      <c r="D51" s="209"/>
      <c r="E51" s="209"/>
      <c r="F51" s="209"/>
      <c r="G51" s="209"/>
      <c r="H51" s="209"/>
      <c r="I51" s="204"/>
      <c r="J51" s="204"/>
      <c r="K51" s="204"/>
    </row>
    <row r="52" spans="1:12" x14ac:dyDescent="0.3">
      <c r="A52" s="211"/>
      <c r="B52" s="209"/>
      <c r="C52" s="209"/>
      <c r="D52" s="209"/>
      <c r="E52" s="209"/>
      <c r="F52" s="209"/>
      <c r="G52" s="209"/>
      <c r="H52" s="209"/>
      <c r="I52" s="214"/>
      <c r="J52" s="204"/>
      <c r="K52" s="204"/>
      <c r="L52" s="203"/>
    </row>
    <row r="53" spans="1:12" x14ac:dyDescent="0.3">
      <c r="A53" s="228" t="s">
        <v>300</v>
      </c>
      <c r="B53" s="209" t="s">
        <v>59</v>
      </c>
      <c r="C53" s="209" t="s">
        <v>260</v>
      </c>
      <c r="D53" s="209"/>
      <c r="E53" s="209"/>
      <c r="F53" s="209"/>
      <c r="G53" s="209"/>
      <c r="H53" s="209"/>
      <c r="I53" s="204"/>
      <c r="J53" s="204"/>
      <c r="K53" s="204"/>
      <c r="L53" s="203"/>
    </row>
    <row r="54" spans="1:12" x14ac:dyDescent="0.3">
      <c r="A54" s="211"/>
      <c r="B54" s="209"/>
      <c r="C54" s="209"/>
      <c r="D54" s="209"/>
      <c r="E54" s="209"/>
      <c r="F54" s="209"/>
      <c r="G54" s="209"/>
      <c r="H54" s="209"/>
      <c r="I54" s="204"/>
      <c r="J54" s="204"/>
      <c r="K54" s="204"/>
      <c r="L54" s="203"/>
    </row>
    <row r="55" spans="1:12" s="203" customFormat="1" x14ac:dyDescent="0.3">
      <c r="A55" s="228" t="s">
        <v>173</v>
      </c>
      <c r="B55" s="216" t="s">
        <v>92</v>
      </c>
      <c r="C55" s="209" t="s">
        <v>227</v>
      </c>
      <c r="D55" s="209"/>
      <c r="E55" s="209"/>
      <c r="F55" s="209"/>
      <c r="G55" s="209"/>
      <c r="H55" s="209"/>
      <c r="I55" s="204"/>
      <c r="J55" s="204"/>
      <c r="K55" s="204"/>
    </row>
    <row r="56" spans="1:12" x14ac:dyDescent="0.3">
      <c r="A56" s="228"/>
      <c r="B56" s="209"/>
      <c r="C56" s="209" t="s">
        <v>261</v>
      </c>
      <c r="D56" s="209"/>
      <c r="E56" s="209"/>
      <c r="F56" s="209"/>
      <c r="G56" s="209"/>
      <c r="H56" s="209"/>
      <c r="I56" s="204"/>
      <c r="J56" s="204"/>
      <c r="K56" s="204"/>
      <c r="L56" s="203"/>
    </row>
    <row r="57" spans="1:12" s="203" customFormat="1" x14ac:dyDescent="0.3">
      <c r="A57" s="228"/>
      <c r="B57" s="209"/>
      <c r="C57" s="209" t="s">
        <v>262</v>
      </c>
      <c r="D57" s="209"/>
      <c r="E57" s="209"/>
      <c r="F57" s="209"/>
      <c r="G57" s="209"/>
      <c r="H57" s="209"/>
      <c r="I57" s="204"/>
      <c r="J57" s="204"/>
      <c r="K57" s="204"/>
    </row>
    <row r="58" spans="1:12" x14ac:dyDescent="0.3">
      <c r="A58" s="211"/>
      <c r="B58" s="209"/>
      <c r="C58" s="209"/>
      <c r="D58" s="209"/>
      <c r="E58" s="209"/>
      <c r="F58" s="206"/>
      <c r="G58" s="209"/>
      <c r="H58" s="209"/>
      <c r="I58" s="204"/>
      <c r="J58" s="204"/>
      <c r="K58" s="204"/>
      <c r="L58" s="203"/>
    </row>
    <row r="59" spans="1:12" s="203" customFormat="1" x14ac:dyDescent="0.3">
      <c r="A59" s="228" t="s">
        <v>174</v>
      </c>
      <c r="B59" s="209" t="s">
        <v>61</v>
      </c>
      <c r="C59" s="209" t="s">
        <v>263</v>
      </c>
      <c r="D59" s="209"/>
      <c r="E59" s="209"/>
      <c r="F59" s="206"/>
      <c r="G59" s="209"/>
      <c r="H59" s="209"/>
      <c r="I59" s="204"/>
      <c r="J59" s="204"/>
      <c r="K59" s="204"/>
    </row>
    <row r="60" spans="1:12" x14ac:dyDescent="0.3">
      <c r="A60" s="211"/>
      <c r="B60" s="209"/>
      <c r="C60" s="209"/>
      <c r="D60" s="209"/>
      <c r="E60" s="206"/>
      <c r="F60" s="209"/>
      <c r="G60" s="209"/>
      <c r="H60" s="209"/>
      <c r="I60" s="204"/>
      <c r="J60" s="204"/>
      <c r="K60" s="204"/>
      <c r="L60" s="203"/>
    </row>
    <row r="61" spans="1:12" s="203" customFormat="1" x14ac:dyDescent="0.3">
      <c r="A61" s="228" t="s">
        <v>301</v>
      </c>
      <c r="B61" s="209" t="s">
        <v>62</v>
      </c>
      <c r="C61" s="209" t="s">
        <v>264</v>
      </c>
      <c r="D61" s="209"/>
      <c r="E61" s="206"/>
      <c r="F61" s="209"/>
      <c r="G61" s="209"/>
      <c r="H61" s="209"/>
      <c r="I61" s="204"/>
      <c r="J61" s="204"/>
      <c r="K61" s="204"/>
    </row>
    <row r="62" spans="1:12" x14ac:dyDescent="0.3">
      <c r="A62" s="211"/>
      <c r="B62" s="209"/>
      <c r="C62" s="213"/>
      <c r="D62" s="206"/>
      <c r="E62" s="209"/>
      <c r="F62" s="203"/>
      <c r="G62" s="209"/>
      <c r="H62" s="209"/>
      <c r="I62" s="204"/>
      <c r="J62" s="204"/>
      <c r="K62" s="204"/>
      <c r="L62" s="203"/>
    </row>
    <row r="63" spans="1:12" x14ac:dyDescent="0.3">
      <c r="A63" s="228" t="s">
        <v>302</v>
      </c>
      <c r="B63" s="209" t="s">
        <v>56</v>
      </c>
      <c r="C63" s="213" t="s">
        <v>265</v>
      </c>
      <c r="D63" s="206"/>
      <c r="E63" s="203"/>
      <c r="G63" s="209"/>
      <c r="H63" s="209"/>
      <c r="I63" s="204"/>
      <c r="J63" s="204"/>
      <c r="K63" s="204"/>
      <c r="L63" s="203"/>
    </row>
    <row r="64" spans="1:12" x14ac:dyDescent="0.3">
      <c r="A64" s="211"/>
      <c r="B64" s="209"/>
      <c r="C64" s="215"/>
      <c r="D64" s="209"/>
      <c r="G64" s="209"/>
      <c r="H64" s="209"/>
      <c r="I64" s="204"/>
      <c r="J64" s="204"/>
      <c r="K64" s="204"/>
      <c r="L64" s="203"/>
    </row>
    <row r="65" spans="1:12" x14ac:dyDescent="0.3">
      <c r="A65" s="228" t="s">
        <v>303</v>
      </c>
      <c r="B65" s="209" t="s">
        <v>98</v>
      </c>
      <c r="C65" s="213" t="s">
        <v>228</v>
      </c>
      <c r="D65" s="203"/>
      <c r="G65" s="209"/>
      <c r="H65" s="209"/>
      <c r="I65" s="204"/>
      <c r="J65" s="204"/>
      <c r="K65" s="204"/>
      <c r="L65" s="203"/>
    </row>
    <row r="66" spans="1:12" x14ac:dyDescent="0.3">
      <c r="A66" s="211"/>
      <c r="B66" s="203"/>
      <c r="C66" s="203"/>
      <c r="G66" s="209"/>
      <c r="H66" s="209"/>
      <c r="I66" s="204"/>
      <c r="J66" s="204"/>
      <c r="K66" s="204"/>
      <c r="L66" s="203"/>
    </row>
    <row r="67" spans="1:12" x14ac:dyDescent="0.3">
      <c r="A67" s="211"/>
      <c r="G67" s="209"/>
      <c r="H67" s="209"/>
      <c r="I67" s="204"/>
      <c r="J67" s="204"/>
      <c r="K67" s="204"/>
      <c r="L67" s="203"/>
    </row>
    <row r="68" spans="1:12" x14ac:dyDescent="0.3">
      <c r="A68" s="211"/>
      <c r="G68" s="206"/>
      <c r="H68" s="206"/>
      <c r="I68" s="206"/>
      <c r="J68" s="206"/>
      <c r="K68" s="206"/>
      <c r="L68" s="203"/>
    </row>
    <row r="69" spans="1:12" x14ac:dyDescent="0.3">
      <c r="A69" s="211"/>
      <c r="G69" s="209"/>
      <c r="H69" s="209"/>
      <c r="I69" s="204"/>
      <c r="J69" s="204"/>
      <c r="K69" s="204"/>
      <c r="L69" s="203"/>
    </row>
    <row r="70" spans="1:12" x14ac:dyDescent="0.3">
      <c r="A70" s="211"/>
      <c r="G70" s="203"/>
      <c r="H70" s="203"/>
      <c r="I70" s="203"/>
      <c r="J70" s="203"/>
      <c r="K70" s="203"/>
      <c r="L70" s="203"/>
    </row>
    <row r="71" spans="1:12" x14ac:dyDescent="0.3">
      <c r="A71" s="211"/>
    </row>
    <row r="72" spans="1:12" x14ac:dyDescent="0.3">
      <c r="A72" s="211"/>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G4" sqref="G4"/>
    </sheetView>
  </sheetViews>
  <sheetFormatPr defaultRowHeight="14.4" x14ac:dyDescent="0.3"/>
  <sheetData>
    <row r="1" spans="1:1" ht="18" x14ac:dyDescent="0.35">
      <c r="A1" s="199" t="s">
        <v>130</v>
      </c>
    </row>
    <row r="2" spans="1:1" x14ac:dyDescent="0.3">
      <c r="A2" t="s">
        <v>38</v>
      </c>
    </row>
    <row r="3" spans="1:1" x14ac:dyDescent="0.3">
      <c r="A3" t="s">
        <v>33</v>
      </c>
    </row>
    <row r="4" spans="1:1" x14ac:dyDescent="0.3">
      <c r="A4" t="s">
        <v>34</v>
      </c>
    </row>
    <row r="5" spans="1:1" x14ac:dyDescent="0.3">
      <c r="A5" t="s">
        <v>102</v>
      </c>
    </row>
    <row r="6" spans="1:1" x14ac:dyDescent="0.3">
      <c r="A6" t="s">
        <v>35</v>
      </c>
    </row>
    <row r="7" spans="1:1" x14ac:dyDescent="0.3">
      <c r="A7" t="s">
        <v>36</v>
      </c>
    </row>
    <row r="8" spans="1:1" x14ac:dyDescent="0.3">
      <c r="A8"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vt:i4>
      </vt:variant>
      <vt:variant>
        <vt:lpstr>Namngivna områden</vt:lpstr>
      </vt:variant>
      <vt:variant>
        <vt:i4>2</vt:i4>
      </vt:variant>
    </vt:vector>
  </HeadingPairs>
  <TitlesOfParts>
    <vt:vector size="8" baseType="lpstr">
      <vt:lpstr>Intro</vt:lpstr>
      <vt:lpstr>Investeringskalkyl</vt:lpstr>
      <vt:lpstr>Noter investering</vt:lpstr>
      <vt:lpstr>Driftkalkyl - Slaktungnöt</vt:lpstr>
      <vt:lpstr>noter drift slaktnöt</vt:lpstr>
      <vt:lpstr>Blad10</vt:lpstr>
      <vt:lpstr>Djurslag</vt:lpstr>
      <vt:lpstr>Välj_djurslag</vt:lpstr>
    </vt:vector>
  </TitlesOfParts>
  <Company>Jordbruksverket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Fjertorp</dc:creator>
  <cp:lastModifiedBy>Jonas Fjertorp</cp:lastModifiedBy>
  <cp:lastPrinted>2017-12-18T10:26:42Z</cp:lastPrinted>
  <dcterms:created xsi:type="dcterms:W3CDTF">2016-06-01T07:08:09Z</dcterms:created>
  <dcterms:modified xsi:type="dcterms:W3CDTF">2018-01-11T08:39:59Z</dcterms:modified>
</cp:coreProperties>
</file>