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gran\Desktop\Webben\"/>
    </mc:Choice>
  </mc:AlternateContent>
  <xr:revisionPtr revIDLastSave="0" documentId="8_{ACFA4D11-328E-441B-B6B7-10FA46C8E3AC}" xr6:coauthVersionLast="47" xr6:coauthVersionMax="47" xr10:uidLastSave="{00000000-0000-0000-0000-000000000000}"/>
  <bookViews>
    <workbookView xWindow="0" yWindow="820" windowWidth="21600" windowHeight="11180" xr2:uid="{0BEEAE14-6362-424E-8086-334D35C90010}"/>
  </bookViews>
  <sheets>
    <sheet name="Gris" sheetId="1" r:id="rId1"/>
    <sheet name="Storboskap" sheetId="2" r:id="rId2"/>
    <sheet name="Kalv" sheetId="3" r:id="rId3"/>
    <sheet name="Får och lamm" sheetId="4" r:id="rId4"/>
    <sheet name="Häst" sheetId="5" r:id="rId5"/>
    <sheet name="Årshistorik" sheetId="6" r:id="rId6"/>
  </sheets>
  <externalReferences>
    <externalReference r:id="rId7"/>
  </externalReferences>
  <definedNames>
    <definedName name="rngAvbugga">[1]Instruktion!$K$9</definedName>
    <definedName name="rngMedgivande">[1]Instruktion!$K$12</definedName>
    <definedName name="rngTidstämpel">[1]Instruktion!#REF!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" i="5" l="1"/>
  <c r="O12" i="5"/>
  <c r="Q12" i="5" s="1"/>
  <c r="N12" i="5"/>
  <c r="M12" i="5"/>
  <c r="P12" i="5" s="1"/>
  <c r="L12" i="5"/>
  <c r="K12" i="5"/>
  <c r="J12" i="5"/>
  <c r="I12" i="5"/>
  <c r="H12" i="5"/>
  <c r="G12" i="5"/>
  <c r="F12" i="5"/>
  <c r="E12" i="5"/>
  <c r="D12" i="5"/>
  <c r="C12" i="5"/>
  <c r="B12" i="5"/>
  <c r="R29" i="4"/>
  <c r="O29" i="4"/>
  <c r="Q29" i="4" s="1"/>
  <c r="N29" i="4"/>
  <c r="M29" i="4"/>
  <c r="P29" i="4" s="1"/>
  <c r="L29" i="4"/>
  <c r="K29" i="4"/>
  <c r="J29" i="4"/>
  <c r="I29" i="4"/>
  <c r="H29" i="4"/>
  <c r="G29" i="4"/>
  <c r="F29" i="4"/>
  <c r="E29" i="4"/>
  <c r="D29" i="4"/>
  <c r="C29" i="4"/>
  <c r="B29" i="4"/>
  <c r="R24" i="3"/>
  <c r="O24" i="3"/>
  <c r="Q24" i="3" s="1"/>
  <c r="N24" i="3"/>
  <c r="M24" i="3"/>
  <c r="P24" i="3" s="1"/>
  <c r="L24" i="3"/>
  <c r="K24" i="3"/>
  <c r="J24" i="3"/>
  <c r="I24" i="3"/>
  <c r="H24" i="3"/>
  <c r="G24" i="3"/>
  <c r="F24" i="3"/>
  <c r="E24" i="3"/>
  <c r="D24" i="3"/>
  <c r="C24" i="3"/>
  <c r="B24" i="3"/>
  <c r="R29" i="2"/>
  <c r="O29" i="2"/>
  <c r="Q29" i="2" s="1"/>
  <c r="N29" i="2"/>
  <c r="M29" i="2"/>
  <c r="P29" i="2" s="1"/>
  <c r="L29" i="2"/>
  <c r="K29" i="2"/>
  <c r="J29" i="2"/>
  <c r="I29" i="2"/>
  <c r="H29" i="2"/>
  <c r="G29" i="2"/>
  <c r="F29" i="2"/>
  <c r="E29" i="2"/>
  <c r="D29" i="2"/>
  <c r="C29" i="2"/>
  <c r="B29" i="2"/>
  <c r="R19" i="1"/>
  <c r="O19" i="1"/>
  <c r="Q19" i="1" s="1"/>
  <c r="N19" i="1"/>
  <c r="M19" i="1"/>
  <c r="P19" i="1" s="1"/>
  <c r="L19" i="1"/>
  <c r="K19" i="1"/>
  <c r="J19" i="1"/>
  <c r="I19" i="1"/>
  <c r="H19" i="1"/>
  <c r="G19" i="1"/>
  <c r="F19" i="1"/>
  <c r="E19" i="1"/>
  <c r="D19" i="1"/>
  <c r="C19" i="1"/>
  <c r="B19" i="1"/>
</calcChain>
</file>

<file path=xl/sharedStrings.xml><?xml version="1.0" encoding="utf-8"?>
<sst xmlns="http://schemas.openxmlformats.org/spreadsheetml/2006/main" count="228" uniqueCount="89">
  <si>
    <t>Antal slaktade grisar, uppdaterad kvartal 3 2025</t>
  </si>
  <si>
    <t>Anläggning</t>
  </si>
  <si>
    <t>2020</t>
  </si>
  <si>
    <t>2021</t>
  </si>
  <si>
    <t>2022</t>
  </si>
  <si>
    <t>2023</t>
  </si>
  <si>
    <t>Kvartal 1 2024</t>
  </si>
  <si>
    <t>Kvartal 2 2024</t>
  </si>
  <si>
    <t>Kvartal 3 2024</t>
  </si>
  <si>
    <t>Kvartal 4 2024</t>
  </si>
  <si>
    <t>2024</t>
  </si>
  <si>
    <t>Kvartal 1 2025</t>
  </si>
  <si>
    <t>Kvartal 2 2025</t>
  </si>
  <si>
    <t>Kvartal 3 2025</t>
  </si>
  <si>
    <t>Kvartal 4 2025</t>
  </si>
  <si>
    <t>2025</t>
  </si>
  <si>
    <t>Förändring kv 3 från 2024-2025</t>
  </si>
  <si>
    <t>Förändring kv 1-3 från 2024–2025</t>
  </si>
  <si>
    <t>Procentuell andel 2025*</t>
  </si>
  <si>
    <t>AB Ginsten Slakteri</t>
  </si>
  <si>
    <t>Alviksgården Lantbruks AB</t>
  </si>
  <si>
    <t>Brantestads Gårdsslakteri</t>
  </si>
  <si>
    <t>Dahlbergs Slakteri AB</t>
  </si>
  <si>
    <t>Ickholmens slakteri</t>
  </si>
  <si>
    <t>KLS Ugglarps AB Dalsjöfors</t>
  </si>
  <si>
    <t>KLS Ugglarps AB Kalmar</t>
  </si>
  <si>
    <t>KLS Ugglarps AB, Trelleborg</t>
  </si>
  <si>
    <t>Lindells Gårdsslakteri</t>
  </si>
  <si>
    <t>Lövsta Kött AB</t>
  </si>
  <si>
    <t>Protos AB</t>
  </si>
  <si>
    <t>Ragnar Johanssons Kött o Chark AB</t>
  </si>
  <si>
    <t>Roslagens Slakt och Chark AB</t>
  </si>
  <si>
    <t>Scan, Kristianstad</t>
  </si>
  <si>
    <t>Skövde Slakteri</t>
  </si>
  <si>
    <t>Övriga</t>
  </si>
  <si>
    <t>Total svensk slakt</t>
  </si>
  <si>
    <t>Tabellen visar 15 av de 39 slakterier som har slaktat grisar under 2025. Källa: Jordbruksverket</t>
  </si>
  <si>
    <t>Sammanställningen utgår från slakteriernas veckorapportering till Jordbruksverket och visar antal slaktade djur som godkänts som livsmedel</t>
  </si>
  <si>
    <t>Ingående kategorier: Samtliga djur av djurslaget svin inklusive suggor och galtar</t>
  </si>
  <si>
    <t>*Den procentuella andelen av slakten utgår från anläggning, inte företag. Det förekommer att slakteriföretag legoslaktar åt varandra.</t>
  </si>
  <si>
    <t>Antal slaktade storboskap, uppdaterad kvartal 3 2025</t>
  </si>
  <si>
    <t>Almunge Kött</t>
  </si>
  <si>
    <t>Bjursunds Slakteri AB</t>
  </si>
  <si>
    <t>David Karlgrens Slakteri AB</t>
  </si>
  <si>
    <t>Delsbo Slakteri</t>
  </si>
  <si>
    <t>Ello i Lammhult AB</t>
  </si>
  <si>
    <t>Faringe Kött &amp; Slakt AB</t>
  </si>
  <si>
    <t>Jämtlandsgården Livsmedel AB</t>
  </si>
  <si>
    <t>KLS Ugglarps AB, Hörby</t>
  </si>
  <si>
    <t>Mostorps Gård AB</t>
  </si>
  <si>
    <t>Norrbottensgården Slakteri AB</t>
  </si>
  <si>
    <t>Nyhléns Hugosons AB - Ullånger</t>
  </si>
  <si>
    <t>Närkes Slakteri</t>
  </si>
  <si>
    <t>PP Slakt AB</t>
  </si>
  <si>
    <t>Scan, Linköping</t>
  </si>
  <si>
    <t>Skånska Vilt AB</t>
  </si>
  <si>
    <t>Sörby Slakteri</t>
  </si>
  <si>
    <t>Varekils Slakteri AB</t>
  </si>
  <si>
    <t>Tabellen visar 25 av de 61 slakterier som har slaktat storboskap under 2025. Källa: Jordbruksverket</t>
  </si>
  <si>
    <t>Ingående kategorier: Samtliga nötkreatur utom späd-, göd-, och mellankalv</t>
  </si>
  <si>
    <t>Antal slaktade kalvar, uppdaterad kvartal 3 2025</t>
  </si>
  <si>
    <t>─</t>
  </si>
  <si>
    <t>Bassholma slakteri AB</t>
  </si>
  <si>
    <t>Bäsinge Slakteri AB</t>
  </si>
  <si>
    <t>–</t>
  </si>
  <si>
    <t>Tavastboda gårdsslakteri AB</t>
  </si>
  <si>
    <t>Tabellen visar 20 av de 39 slakterier som har slaktat kalvar under 2025. Källa: Jordbruksverket</t>
  </si>
  <si>
    <t>Ingående kategorier: späd-, göd-, och mellankalv</t>
  </si>
  <si>
    <t>Antal slaktade får och lamm, uppdaterad kvartal 3 2025</t>
  </si>
  <si>
    <t>Appeltorps Lamm o Vilt</t>
  </si>
  <si>
    <t>Ljungskile Kött AB</t>
  </si>
  <si>
    <t>Lundsbol slakteri AB</t>
  </si>
  <si>
    <t>Skara Lammslakteri AB</t>
  </si>
  <si>
    <t>Vikbolands Kött</t>
  </si>
  <si>
    <t>Västerslät</t>
  </si>
  <si>
    <t>Öströö Fårfarm AB</t>
  </si>
  <si>
    <t>Tabellen visar 25 av de 53 slakterier som har slaktat får och lamm under 2025. Källa: Jordbruksverket</t>
  </si>
  <si>
    <t>Ingående kategorier: Samtliga får och lamm</t>
  </si>
  <si>
    <t>Antal slaktade hästar, uppdaterad kvartal 3 2025</t>
  </si>
  <si>
    <t>Tabellen visar 8 av de 12 slakterier som har slaktat hästar under 2025. Källa: Jordbruksverket</t>
  </si>
  <si>
    <t>Ingående kategorier: Samtliga hästar</t>
  </si>
  <si>
    <t>Godkänd slakt, antal djur per år</t>
  </si>
  <si>
    <t>År</t>
  </si>
  <si>
    <t>Svin</t>
  </si>
  <si>
    <t>Storboskap</t>
  </si>
  <si>
    <t>Kalv</t>
  </si>
  <si>
    <t>Får</t>
  </si>
  <si>
    <t>Get</t>
  </si>
  <si>
    <t>Häst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</si>
</sst>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%"/>
    <numFmt numFmtId="165" formatCode="\+0%;\-0%"/>
    <numFmt numFmtId="166" formatCode="#,#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EFE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0" fillId="2" borderId="0" xfId="0" applyFill="1" applyAlignment="1">
      <alignment horizontal="right" wrapText="1"/>
    </xf>
    <xf numFmtId="164" fontId="3" fillId="0" borderId="0" xfId="1" applyNumberFormat="1" applyFont="1" applyFill="1" applyBorder="1" applyAlignment="1">
      <alignment horizontal="right" wrapText="1"/>
    </xf>
    <xf numFmtId="164" fontId="3" fillId="0" borderId="0" xfId="1" applyNumberFormat="1" applyFont="1" applyFill="1" applyBorder="1" applyAlignment="1">
      <alignment horizontal="center" wrapText="1"/>
    </xf>
    <xf numFmtId="164" fontId="1" fillId="0" borderId="0" xfId="0" applyNumberFormat="1" applyFont="1" applyAlignment="1">
      <alignment wrapText="1"/>
    </xf>
    <xf numFmtId="3" fontId="0" fillId="0" borderId="0" xfId="0" applyNumberFormat="1"/>
    <xf numFmtId="3" fontId="0" fillId="3" borderId="0" xfId="0" applyNumberFormat="1" applyFill="1"/>
    <xf numFmtId="3" fontId="0" fillId="4" borderId="0" xfId="0" applyNumberFormat="1" applyFill="1"/>
    <xf numFmtId="165" fontId="0" fillId="0" borderId="0" xfId="0" applyNumberFormat="1" applyAlignment="1">
      <alignment horizontal="right"/>
    </xf>
    <xf numFmtId="9" fontId="0" fillId="0" borderId="0" xfId="0" applyNumberFormat="1"/>
    <xf numFmtId="166" fontId="3" fillId="0" borderId="0" xfId="0" applyNumberFormat="1" applyFont="1"/>
    <xf numFmtId="0" fontId="1" fillId="0" borderId="0" xfId="0" applyFont="1"/>
    <xf numFmtId="165" fontId="0" fillId="0" borderId="0" xfId="0" applyNumberFormat="1"/>
    <xf numFmtId="3" fontId="1" fillId="0" borderId="0" xfId="0" applyNumberFormat="1" applyFont="1"/>
    <xf numFmtId="3" fontId="1" fillId="3" borderId="0" xfId="0" applyNumberFormat="1" applyFont="1" applyFill="1"/>
    <xf numFmtId="3" fontId="1" fillId="4" borderId="0" xfId="0" applyNumberFormat="1" applyFont="1" applyFill="1"/>
    <xf numFmtId="165" fontId="1" fillId="0" borderId="0" xfId="0" applyNumberFormat="1" applyFont="1" applyAlignment="1">
      <alignment horizontal="right"/>
    </xf>
    <xf numFmtId="9" fontId="1" fillId="0" borderId="0" xfId="0" applyNumberFormat="1" applyFont="1"/>
    <xf numFmtId="0" fontId="4" fillId="0" borderId="0" xfId="0" applyFont="1"/>
    <xf numFmtId="165" fontId="1" fillId="0" borderId="0" xfId="0" applyNumberFormat="1" applyFont="1"/>
    <xf numFmtId="0" fontId="5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0" fontId="3" fillId="0" borderId="0" xfId="0" applyFont="1"/>
    <xf numFmtId="0" fontId="0" fillId="0" borderId="0" xfId="0" applyAlignment="1">
      <alignment horizontal="center"/>
    </xf>
    <xf numFmtId="3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3" fontId="0" fillId="0" borderId="1" xfId="0" applyNumberFormat="1" applyBorder="1"/>
  </cellXfs>
  <cellStyles count="2">
    <cellStyle name="Normal" xfId="0" builtinId="0"/>
    <cellStyle name="Procent" xfId="1" builtinId="5"/>
  </cellStyles>
  <dxfs count="201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center" vertical="bottom" textRotation="0" wrapText="0" indent="0" justifyLastLine="0" shrinkToFit="0" readingOrder="0"/>
    </dxf>
    <dxf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3" formatCode="0%"/>
      <fill>
        <patternFill patternType="none">
          <fgColor indexed="64"/>
          <bgColor indexed="65"/>
        </patternFill>
      </fill>
    </dxf>
    <dxf>
      <numFmt numFmtId="165" formatCode="\+0%;\-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\+0%;\-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5" formatCode="\+0%;\-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\+0%;\-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EFEFE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EFEFE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EFEFE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EFEFE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0.0%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3" formatCode="0%"/>
      <fill>
        <patternFill patternType="none">
          <fgColor indexed="64"/>
          <bgColor indexed="65"/>
        </patternFill>
      </fill>
    </dxf>
    <dxf>
      <numFmt numFmtId="165" formatCode="\+0%;\-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\+0%;\-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5" formatCode="\+0%;\-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\+0%;\-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EFEFE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EFEFE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EFEFE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EFEFE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none">
          <fgColor indexed="64"/>
          <bgColor auto="1"/>
        </patternFill>
      </fill>
    </dxf>
    <dxf>
      <numFmt numFmtId="165" formatCode="\+0%;\-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\+0%;\-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5" formatCode="\+0%;\-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\+0%;\-0%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</dxf>
    <dxf>
      <numFmt numFmtId="3" formatCode="#,##0"/>
    </dxf>
    <dxf>
      <numFmt numFmtId="3" formatCode="#,##0"/>
      <fill>
        <patternFill patternType="solid">
          <fgColor indexed="64"/>
          <bgColor rgb="FFFEFEFE"/>
        </patternFill>
      </fill>
    </dxf>
    <dxf>
      <numFmt numFmtId="3" formatCode="#,##0"/>
    </dxf>
    <dxf>
      <numFmt numFmtId="3" formatCode="#,##0"/>
      <fill>
        <patternFill patternType="solid">
          <fgColor indexed="64"/>
          <bgColor rgb="FFFEFEFE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solid">
          <fgColor indexed="64"/>
          <bgColor rgb="FFFEFEFE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solid">
          <fgColor indexed="64"/>
          <bgColor rgb="FFFEFEFE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#,#00%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none">
          <fgColor indexed="64"/>
          <bgColor auto="1"/>
        </patternFill>
      </fill>
    </dxf>
    <dxf>
      <numFmt numFmtId="165" formatCode="\+0%;\-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\+0%;\-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5" formatCode="\+0%;\-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\+0%;\-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solid">
          <fgColor indexed="64"/>
          <bgColor rgb="FFFEFEFE"/>
        </patternFill>
      </fill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solid">
          <fgColor indexed="64"/>
          <bgColor rgb="FFFEFEFE"/>
        </patternFill>
      </fill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solid">
          <fgColor indexed="64"/>
          <bgColor rgb="FFFEFEFE"/>
        </patternFill>
      </fill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solid">
          <fgColor indexed="64"/>
          <bgColor rgb="FFFEFEFE"/>
        </patternFill>
      </fill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#,#00%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.0%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3" formatCode="0%"/>
      <fill>
        <patternFill patternType="none">
          <fgColor indexed="64"/>
          <bgColor indexed="65"/>
        </patternFill>
      </fill>
    </dxf>
    <dxf>
      <numFmt numFmtId="165" formatCode="\+0%;\-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\+0%;\-0%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165" formatCode="\+0%;\-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\+0%;\-0%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EFEFE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EFEFE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EFEFE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EFEFE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border>
        <left/>
        <right/>
        <top style="thin">
          <color theme="9" tint="0.59996337778862885"/>
        </top>
        <bottom style="thin">
          <color theme="9" tint="0.59996337778862885"/>
        </bottom>
        <vertical/>
        <horizontal style="thin">
          <color theme="9" tint="0.59996337778862885"/>
        </horizontal>
      </border>
    </dxf>
    <dxf>
      <fill>
        <patternFill>
          <bgColor theme="9" tint="0.79998168889431442"/>
        </patternFill>
      </fill>
      <border diagonalUp="0" diagonalDown="0">
        <left/>
        <right/>
        <top style="thin">
          <color theme="9" tint="0.59996337778862885"/>
        </top>
        <bottom style="thin">
          <color theme="9" tint="0.59996337778862885"/>
        </bottom>
        <vertical/>
        <horizontal style="thin">
          <color theme="9" tint="0.59996337778862885"/>
        </horizontal>
      </border>
    </dxf>
    <dxf>
      <font>
        <b/>
        <color theme="1"/>
      </font>
      <border>
        <right/>
      </border>
    </dxf>
    <dxf>
      <font>
        <b/>
        <color theme="1"/>
      </font>
    </dxf>
    <dxf>
      <font>
        <b/>
        <color theme="1"/>
      </font>
      <border>
        <left/>
        <right/>
        <top style="double">
          <color auto="1"/>
        </top>
        <bottom style="medium">
          <color auto="1"/>
        </bottom>
        <vertical/>
      </border>
    </dxf>
    <dxf>
      <font>
        <b/>
        <color theme="1"/>
      </font>
      <border>
        <left/>
        <right/>
        <top style="medium">
          <color auto="1"/>
        </top>
        <bottom style="medium">
          <color auto="1"/>
        </bottom>
        <vertical/>
      </border>
    </dxf>
    <dxf>
      <font>
        <color theme="1"/>
      </font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 style="thin">
          <color theme="9"/>
        </vertical>
        <horizontal style="thin">
          <color theme="9"/>
        </horizontal>
      </border>
    </dxf>
  </dxfs>
  <tableStyles count="1" defaultTableStyle="TableStyleMedium2" defaultPivotStyle="PivotStyleLight16">
    <tableStyle name="Kvartalsstatistik" pivot="0" count="9" xr9:uid="{72AB4443-492D-498B-9512-9C3C6F55DAB9}">
      <tableStyleElement type="wholeTable" dxfId="200"/>
      <tableStyleElement type="headerRow" dxfId="199"/>
      <tableStyleElement type="totalRow" dxfId="198"/>
      <tableStyleElement type="firstColumn" dxfId="197"/>
      <tableStyleElement type="lastColumn" dxfId="196"/>
      <tableStyleElement type="firstRowStripe" dxfId="195"/>
      <tableStyleElement type="secondRowStripe" dxfId="194"/>
      <tableStyleElement type="firstColumnStripe" dxfId="193"/>
      <tableStyleElement type="secondColumnStripe" dxfId="19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nhet\Kontrollenheter\Kontrollomr&#229;den\K&#246;ttklassning\Planering,%20uppf&#246;ljning%20och%20statistik\Statistik\Kvartalsstatistik\2025\Kvartalsstatistik%202025.xlsm" TargetMode="External"/><Relationship Id="rId1" Type="http://schemas.openxmlformats.org/officeDocument/2006/relationships/externalLinkPath" Target="file:///G:\Enhet\Kontrollenheter\Kontrollomr&#229;den\K&#246;ttklassning\Planering,%20uppf&#246;ljning%20och%20statistik\Statistik\Kvartalsstatistik\2025\Kvartalsstatistik%20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ktion"/>
      <sheetName val="DAWA-underlag"/>
      <sheetName val="Urval"/>
      <sheetName val="Äldre underlag"/>
      <sheetName val="Gris"/>
      <sheetName val="Storboskap"/>
      <sheetName val="Kalv"/>
      <sheetName val="Får och lamm"/>
      <sheetName val="Get"/>
      <sheetName val="Häst"/>
      <sheetName val="Årshistorik"/>
      <sheetName val="Diagram"/>
    </sheetNames>
    <sheetDataSet>
      <sheetData sheetId="0">
        <row r="9">
          <cell r="K9" t="b">
            <v>0</v>
          </cell>
        </row>
        <row r="12">
          <cell r="K12" t="str">
            <v>Medger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4164E3-21E5-49AB-A0CB-CBE08B63C77B}" name="Tabell_Gris" displayName="Tabell_Gris" ref="A2:R19" totalsRowCount="1">
  <autoFilter ref="A2:R18" xr:uid="{00000000-0009-0000-0100-00000A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</autoFilter>
  <tableColumns count="18">
    <tableColumn id="1" xr3:uid="{26A8757E-722E-48EA-A395-04F903025EC4}" name="Anläggning" totalsRowLabel="Total svensk slakt" dataDxfId="191"/>
    <tableColumn id="19" xr3:uid="{B9191978-1969-4950-A5A2-800D0B8F37AF}" name="2020" totalsRowFunction="sum" dataDxfId="190" totalsRowDxfId="189"/>
    <tableColumn id="20" xr3:uid="{2925B19E-6E43-426C-A57E-E9A4A6ED2032}" name="2021" totalsRowFunction="sum" dataDxfId="188" totalsRowDxfId="187"/>
    <tableColumn id="21" xr3:uid="{D086EE55-5F1C-46EF-B15B-A314EBC609B6}" name="2022" totalsRowFunction="sum" dataDxfId="186" totalsRowDxfId="185"/>
    <tableColumn id="22" xr3:uid="{2F494B93-F9D7-4F52-8874-478CA4EB908F}" name="2023" totalsRowFunction="sum" dataDxfId="184" totalsRowDxfId="183"/>
    <tableColumn id="2" xr3:uid="{81CB59FC-339E-4C0F-803B-77391699F737}" name="Kvartal 1 2024" totalsRowFunction="sum" dataDxfId="182" totalsRowDxfId="181"/>
    <tableColumn id="3" xr3:uid="{A3C99F19-2331-48BD-AD88-F855C8947417}" name="Kvartal 2 2024" totalsRowFunction="sum" dataDxfId="180" totalsRowDxfId="179"/>
    <tableColumn id="4" xr3:uid="{0223D2B8-2AB8-4E59-BCE9-96191A6D8917}" name="Kvartal 3 2024" totalsRowFunction="sum" dataDxfId="178" totalsRowDxfId="177"/>
    <tableColumn id="5" xr3:uid="{542D7606-47FD-47E6-A0DC-3B57E2DC01CD}" name="Kvartal 4 2024" totalsRowFunction="sum" dataDxfId="176" totalsRowDxfId="175"/>
    <tableColumn id="6" xr3:uid="{5113080D-773B-4078-B644-B098117BF371}" name="2024" totalsRowFunction="sum" dataDxfId="174" totalsRowDxfId="173"/>
    <tableColumn id="7" xr3:uid="{809E2E17-DEF7-4303-9733-DDC76479DD3E}" name="Kvartal 1 2025" totalsRowFunction="sum" dataDxfId="172" totalsRowDxfId="171"/>
    <tableColumn id="8" xr3:uid="{3B4CF0D7-D381-4D23-8197-CDD4BE182403}" name="Kvartal 2 2025" totalsRowFunction="sum" dataDxfId="170" totalsRowDxfId="169"/>
    <tableColumn id="9" xr3:uid="{5A3E2E27-5794-4C0F-8FE4-06A37DAFE6E5}" name="Kvartal 3 2025" totalsRowFunction="sum" dataDxfId="168" totalsRowDxfId="167"/>
    <tableColumn id="10" xr3:uid="{D82E4C7E-AA47-4294-81F5-689F82216F3B}" name="Kvartal 4 2025" totalsRowFunction="sum" dataDxfId="166" totalsRowDxfId="165"/>
    <tableColumn id="11" xr3:uid="{6F78496D-833F-4D14-88B1-EF17FDF45C23}" name="2025" totalsRowFunction="sum" dataDxfId="164" totalsRowDxfId="163"/>
    <tableColumn id="12" xr3:uid="{6E786FE1-A9D7-456E-9A8B-53CBFE3405F7}" name="Förändring kv 3 från 2024-2025" totalsRowFunction="custom" dataDxfId="162" totalsRowDxfId="161">
      <totalsRowFormula>M19/H19-1</totalsRowFormula>
    </tableColumn>
    <tableColumn id="13" xr3:uid="{18ACAD1F-CC2A-4667-9D4C-B3B857D96E31}" name="Förändring kv 1-3 från 2024–2025" totalsRowFunction="custom" dataDxfId="160" totalsRowDxfId="159">
      <totalsRowFormula>O19/SUM(F19:H19)-1</totalsRowFormula>
    </tableColumn>
    <tableColumn id="14" xr3:uid="{A8E032CC-FDFE-457F-8905-7D05902BD2A3}" name="Procentuell andel 2025*" totalsRowFunction="sum" dataDxfId="158" totalsRowDxfId="157"/>
  </tableColumns>
  <tableStyleInfo name="Kvartalsstatistik" showFirstColumn="1" showLastColumn="0" showRowStripes="1" showColumnStripes="0"/>
  <extLst>
    <ext xmlns:x14="http://schemas.microsoft.com/office/spreadsheetml/2009/9/main" uri="{504A1905-F514-4f6f-8877-14C23A59335A}">
      <x14:table altText="Tabell över antal slaktade grisar" altTextSummary="Tabellen visar de större slakterierna kvartalsvis i år och förra året samt årsvis ytterligare fyra år tillbaka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1EA3E47-DCDA-40E1-A9B2-F255921E99EA}" name="Tabell_Storb" displayName="Tabell_Storb" ref="A2:R29" totalsRowCount="1" headerRowDxfId="156" totalsRowDxfId="155">
  <autoFilter ref="A2:R28" xr:uid="{00000000-0009-0000-0100-000008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</autoFilter>
  <tableColumns count="18">
    <tableColumn id="1" xr3:uid="{F0CAC54D-6732-4CE5-BD09-55F5A0ED9C36}" name="Anläggning" totalsRowLabel="Total svensk slakt" dataDxfId="154"/>
    <tableColumn id="19" xr3:uid="{04CCDE8F-2CFF-449F-A808-6D04DDDAE2D3}" name="2020" totalsRowFunction="sum" dataDxfId="153" totalsRowDxfId="152"/>
    <tableColumn id="20" xr3:uid="{369D1CC6-E1EA-4E2D-B7D0-E8663AC13744}" name="2021" totalsRowFunction="sum" dataDxfId="151" totalsRowDxfId="150"/>
    <tableColumn id="21" xr3:uid="{6BFB532E-37A2-456C-ACC3-3FE1A93A01DD}" name="2022" totalsRowFunction="sum" dataDxfId="149" totalsRowDxfId="148"/>
    <tableColumn id="22" xr3:uid="{F7BAF2DD-7A54-41BC-AD7B-4327160E39EC}" name="2023" totalsRowFunction="sum" dataDxfId="147" totalsRowDxfId="146"/>
    <tableColumn id="2" xr3:uid="{C43CC77C-1C6C-4868-A9CC-087896785D2D}" name="Kvartal 1 2024" totalsRowFunction="sum" dataDxfId="145" totalsRowDxfId="144"/>
    <tableColumn id="3" xr3:uid="{F55CCB6B-7A70-467B-8F59-928F795308A2}" name="Kvartal 2 2024" totalsRowFunction="sum" dataDxfId="143" totalsRowDxfId="142"/>
    <tableColumn id="4" xr3:uid="{217DED34-4F47-4BD7-B79D-DD04F44D5751}" name="Kvartal 3 2024" totalsRowFunction="sum" dataDxfId="141" totalsRowDxfId="140"/>
    <tableColumn id="5" xr3:uid="{45BF2EB7-B4D7-44E5-B257-9847A0FFADE9}" name="Kvartal 4 2024" totalsRowFunction="sum" dataDxfId="139" totalsRowDxfId="138"/>
    <tableColumn id="6" xr3:uid="{65C394E2-08F3-40E4-9C6E-AFF15CE95E8C}" name="2024" totalsRowFunction="sum" dataDxfId="137" totalsRowDxfId="136"/>
    <tableColumn id="7" xr3:uid="{70305D4E-83F9-4BFA-B0D6-54970C18BED0}" name="Kvartal 1 2025" totalsRowFunction="sum" dataDxfId="135" totalsRowDxfId="134"/>
    <tableColumn id="8" xr3:uid="{DDB42D59-087F-4EBF-B564-6A11CEE3FE0F}" name="Kvartal 2 2025" totalsRowFunction="sum" dataDxfId="133" totalsRowDxfId="132"/>
    <tableColumn id="9" xr3:uid="{79ACDD11-0DDD-4374-9BE0-40E70970CD4D}" name="Kvartal 3 2025" totalsRowFunction="sum" dataDxfId="131" totalsRowDxfId="130"/>
    <tableColumn id="10" xr3:uid="{8046A58A-C8F3-45B6-B89B-3E16BC44B821}" name="Kvartal 4 2025" totalsRowFunction="sum" dataDxfId="129" totalsRowDxfId="128"/>
    <tableColumn id="11" xr3:uid="{C62C9D0E-59A4-4A3C-91F9-B322CF00DC1A}" name="2025" totalsRowFunction="sum" dataDxfId="127" totalsRowDxfId="126"/>
    <tableColumn id="12" xr3:uid="{0B1C6D70-BB24-4E1A-BAED-1A424ADCD312}" name="Förändring kv 3 från 2024-2025" totalsRowFunction="custom" dataDxfId="125" totalsRowDxfId="124">
      <totalsRowFormula>M29/H29-1</totalsRowFormula>
    </tableColumn>
    <tableColumn id="13" xr3:uid="{CAC05623-A4B7-4B78-AF9A-F12EA82E15D8}" name="Förändring kv 1-3 från 2024–2025" totalsRowFunction="custom" dataDxfId="123" totalsRowDxfId="122">
      <totalsRowFormula>O29/SUM(F29:H29)-1</totalsRowFormula>
    </tableColumn>
    <tableColumn id="14" xr3:uid="{429F8E02-871C-4BC9-83F4-555193E33700}" name="Procentuell andel 2025*" totalsRowFunction="sum" dataDxfId="121" totalsRowDxfId="120"/>
  </tableColumns>
  <tableStyleInfo name="Kvartalsstatistik" showFirstColumn="1" showLastColumn="0" showRowStripes="1" showColumnStripes="0"/>
  <extLst>
    <ext xmlns:x14="http://schemas.microsoft.com/office/spreadsheetml/2009/9/main" uri="{504A1905-F514-4f6f-8877-14C23A59335A}">
      <x14:table altText="Tabell över antalet slaktade storboskap" altTextSummary="Tabellen visar de större slakterierna kvartalsvis i år och förra året samt årsvis ytterligare fyra år tillbaka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2C853E2-8271-46A2-9AEC-5254EA610D47}" name="Tabell_Kalv" displayName="Tabell_Kalv" ref="A2:R24" totalsRowCount="1" headerRowDxfId="119" dataDxfId="118" totalsRowDxfId="117">
  <autoFilter ref="A2:R23" xr:uid="{00000000-0009-0000-0100-000009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</autoFilter>
  <tableColumns count="18">
    <tableColumn id="1" xr3:uid="{F5C86FFE-2857-400F-9208-8128E9EA92F2}" name="Anläggning" totalsRowLabel="Total svensk slakt" dataDxfId="116"/>
    <tableColumn id="19" xr3:uid="{C8396064-61AE-46AF-A351-E4BAF7DC2C19}" name="2020" totalsRowFunction="sum" dataDxfId="115" totalsRowDxfId="114"/>
    <tableColumn id="20" xr3:uid="{D15B409C-6F73-4257-ABE8-6F838F1E9862}" name="2021" totalsRowFunction="sum" dataDxfId="113" totalsRowDxfId="112"/>
    <tableColumn id="21" xr3:uid="{F6F1E515-CE67-4897-A006-273AD572AC37}" name="2022" totalsRowFunction="sum" dataDxfId="111" totalsRowDxfId="110"/>
    <tableColumn id="22" xr3:uid="{E414672B-8CCA-42B8-9B27-43B58235966E}" name="2023" totalsRowFunction="sum" dataDxfId="109" totalsRowDxfId="108"/>
    <tableColumn id="2" xr3:uid="{0EFF3A77-F0AF-4957-B8A5-35BD97A64824}" name="Kvartal 1 2024" totalsRowFunction="sum" dataDxfId="107" totalsRowDxfId="106"/>
    <tableColumn id="3" xr3:uid="{DE7DB9BD-5D3E-4934-85BB-721A37732830}" name="Kvartal 2 2024" totalsRowFunction="sum" dataDxfId="105" totalsRowDxfId="104"/>
    <tableColumn id="4" xr3:uid="{9A7F7B6A-0437-4D4D-9F7C-F3399107BFAC}" name="Kvartal 3 2024" totalsRowFunction="sum" dataDxfId="103" totalsRowDxfId="102"/>
    <tableColumn id="5" xr3:uid="{9DC4D467-2E08-4102-A9CE-7D8D18110806}" name="Kvartal 4 2024" totalsRowFunction="sum" dataDxfId="101" totalsRowDxfId="100"/>
    <tableColumn id="6" xr3:uid="{AAC2766A-813D-418D-9224-56748E0BF958}" name="2024" totalsRowFunction="sum" dataDxfId="99" totalsRowDxfId="98"/>
    <tableColumn id="7" xr3:uid="{62A7F4B6-D5DB-48A3-87A3-898A2D14DE0E}" name="Kvartal 1 2025" totalsRowFunction="sum" dataDxfId="97" totalsRowDxfId="96"/>
    <tableColumn id="8" xr3:uid="{8CB2EB12-86E5-4142-8255-33C0A1B0124E}" name="Kvartal 2 2025" totalsRowFunction="sum" dataDxfId="95" totalsRowDxfId="94"/>
    <tableColumn id="9" xr3:uid="{3752236D-B27D-43DA-929E-CB115F7492ED}" name="Kvartal 3 2025" totalsRowFunction="sum" dataDxfId="93" totalsRowDxfId="92"/>
    <tableColumn id="10" xr3:uid="{8E6E443A-0779-4DC0-82F0-430234B38511}" name="Kvartal 4 2025" totalsRowFunction="sum" dataDxfId="91" totalsRowDxfId="90"/>
    <tableColumn id="11" xr3:uid="{953BDE9C-66C5-4BB4-B775-63412E4D1639}" name="2025" totalsRowFunction="sum" dataDxfId="89" totalsRowDxfId="88"/>
    <tableColumn id="12" xr3:uid="{A75007CB-9C4B-4007-9039-5A99AD8DCA35}" name="Förändring kv 3 från 2024-2025" totalsRowFunction="custom" dataDxfId="87" totalsRowDxfId="86">
      <totalsRowFormula>M24/H24-1</totalsRowFormula>
    </tableColumn>
    <tableColumn id="13" xr3:uid="{58416B30-7EB8-4D41-9AAF-4F20FF8654CC}" name="Förändring kv 1-3 från 2024–2025" totalsRowFunction="custom" dataDxfId="85" totalsRowDxfId="84">
      <totalsRowFormula>O24/SUM(F24:H24)-1</totalsRowFormula>
    </tableColumn>
    <tableColumn id="14" xr3:uid="{1AC6430A-9352-49B8-A01B-46687676ADD1}" name="Procentuell andel 2025*" totalsRowFunction="sum" dataDxfId="83" totalsRowDxfId="82"/>
  </tableColumns>
  <tableStyleInfo name="Kvartalsstatistik" showFirstColumn="1" showLastColumn="0" showRowStripes="1" showColumnStripes="0"/>
  <extLst>
    <ext xmlns:x14="http://schemas.microsoft.com/office/spreadsheetml/2009/9/main" uri="{504A1905-F514-4f6f-8877-14C23A59335A}">
      <x14:table altText="Tabell över antal slaktade kalvar" altTextSummary="Tabellen visar de större slakterierna kvartalsvis i år och förra året samt årsvis ytterligare fyra år tillbaka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56902A4-53CC-4718-A0AE-49CC84D338DF}" name="Tabell_Får" displayName="Tabell_Får" ref="A2:R29" totalsRowCount="1" headerRowDxfId="81" totalsRowDxfId="80">
  <autoFilter ref="A2:R28" xr:uid="{00000000-0009-0000-0100-000006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</autoFilter>
  <tableColumns count="18">
    <tableColumn id="1" xr3:uid="{8CE8513C-CBB1-4FEB-8F3B-1A95BE38DED8}" name="Anläggning" totalsRowLabel="Total svensk slakt" dataDxfId="79"/>
    <tableColumn id="19" xr3:uid="{B6D4AC0A-A193-476F-BBE4-971AFAC5B54D}" name="2020" totalsRowFunction="sum" dataDxfId="78" totalsRowDxfId="77"/>
    <tableColumn id="20" xr3:uid="{82F8C219-A629-4C19-8E84-0E52F7B446C0}" name="2021" totalsRowFunction="sum" dataDxfId="76" totalsRowDxfId="75"/>
    <tableColumn id="21" xr3:uid="{0937C9E2-5125-4C10-A795-641F6DEB637C}" name="2022" totalsRowFunction="sum" dataDxfId="74" totalsRowDxfId="73"/>
    <tableColumn id="22" xr3:uid="{6509B700-CDAF-475A-B1DD-89283599397E}" name="2023" totalsRowFunction="sum" dataDxfId="72" totalsRowDxfId="71"/>
    <tableColumn id="2" xr3:uid="{C96F26E2-2C74-4B76-BB11-2FCB1F9253D8}" name="Kvartal 1 2024" totalsRowFunction="sum" dataDxfId="70" totalsRowDxfId="69"/>
    <tableColumn id="3" xr3:uid="{B6821201-2C99-4815-A202-47278784CA5D}" name="Kvartal 2 2024" totalsRowFunction="sum" dataDxfId="68" totalsRowDxfId="67"/>
    <tableColumn id="4" xr3:uid="{9E8A889C-7330-44FD-84D7-19B2B24DAD5A}" name="Kvartal 3 2024" totalsRowFunction="sum" dataDxfId="66" totalsRowDxfId="65"/>
    <tableColumn id="5" xr3:uid="{A7B9CBEB-AF09-4A80-8E02-C411AA8CBDC1}" name="Kvartal 4 2024" totalsRowFunction="sum" dataDxfId="64" totalsRowDxfId="63"/>
    <tableColumn id="6" xr3:uid="{8F5363D8-DED1-4C7E-8124-6C57FBC90BF2}" name="2024" totalsRowFunction="sum" dataDxfId="62" totalsRowDxfId="61"/>
    <tableColumn id="7" xr3:uid="{8D44C812-8118-46C4-A1F9-558D139F7E54}" name="Kvartal 1 2025" totalsRowFunction="sum" dataDxfId="60" totalsRowDxfId="59"/>
    <tableColumn id="8" xr3:uid="{DD6EBA47-A33B-4C82-B028-D13EC519901B}" name="Kvartal 2 2025" totalsRowFunction="sum" dataDxfId="58" totalsRowDxfId="57"/>
    <tableColumn id="9" xr3:uid="{AF248D80-545D-4A99-9B58-FFCD8FA91364}" name="Kvartal 3 2025" totalsRowFunction="sum" dataDxfId="56" totalsRowDxfId="55"/>
    <tableColumn id="10" xr3:uid="{096E91E9-F124-47DB-8506-916229254927}" name="Kvartal 4 2025" totalsRowFunction="sum" dataDxfId="54" totalsRowDxfId="53"/>
    <tableColumn id="11" xr3:uid="{8EB3749C-FB38-4E34-99C8-2B6A84A02161}" name="2025" totalsRowFunction="sum" dataDxfId="52" totalsRowDxfId="51"/>
    <tableColumn id="12" xr3:uid="{ACD2BB6C-7821-4297-B8F1-3BDE8C5302AF}" name="Förändring kv 3 från 2024-2025" totalsRowFunction="custom" dataDxfId="50" totalsRowDxfId="49">
      <totalsRowFormula>M29/H29-1</totalsRowFormula>
    </tableColumn>
    <tableColumn id="13" xr3:uid="{B5D17D43-F59D-4675-9F1E-50D9398652B0}" name="Förändring kv 1-3 från 2024–2025" totalsRowFunction="custom" dataDxfId="48" totalsRowDxfId="47">
      <totalsRowFormula>O29/SUM(F29:H29)-1</totalsRowFormula>
    </tableColumn>
    <tableColumn id="14" xr3:uid="{86DD1F5E-160C-45C2-8D6B-871CDD67ADDF}" name="Procentuell andel 2025*" totalsRowFunction="sum" dataDxfId="46" totalsRowDxfId="45"/>
  </tableColumns>
  <tableStyleInfo name="Kvartalsstatistik" showFirstColumn="1" showLastColumn="0" showRowStripes="1" showColumnStripes="0"/>
  <extLst>
    <ext xmlns:x14="http://schemas.microsoft.com/office/spreadsheetml/2009/9/main" uri="{504A1905-F514-4f6f-8877-14C23A59335A}">
      <x14:table altText="Tabell över antal slaktade får och lamm" altTextSummary="Tabellen visar de större slakterierna kvartalsvis i år och förra året samt årsvis ytterligare fyra år tillbaka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3078983-092E-44F2-A73D-BABDE40AF5A2}" name="Tabell_Häst" displayName="Tabell_Häst" ref="A2:R12" totalsRowCount="1" headerRowDxfId="44" dataDxfId="43" totalsRowDxfId="42">
  <autoFilter ref="A2:R11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</autoFilter>
  <tableColumns count="18">
    <tableColumn id="1" xr3:uid="{E6F84AAF-1CFF-4C6D-A4EE-F65848149906}" name="Anläggning" totalsRowLabel="Total svensk slakt" dataDxfId="41"/>
    <tableColumn id="19" xr3:uid="{43969733-83BB-4435-B56D-5496776519C0}" name="2020" totalsRowFunction="sum" dataDxfId="40" totalsRowDxfId="39"/>
    <tableColumn id="20" xr3:uid="{7E5A9E3E-4E5E-4E8C-BCC3-33694E125D66}" name="2021" totalsRowFunction="sum" dataDxfId="38" totalsRowDxfId="37"/>
    <tableColumn id="21" xr3:uid="{5E1386A8-DEC7-4BB2-B290-719143FA51CE}" name="2022" totalsRowFunction="sum" dataDxfId="36" totalsRowDxfId="35"/>
    <tableColumn id="22" xr3:uid="{F801F24D-7B2F-4F38-BCA4-47B96CA67159}" name="2023" totalsRowFunction="sum" dataDxfId="34" totalsRowDxfId="33"/>
    <tableColumn id="2" xr3:uid="{BA11AADF-003D-496F-8DC0-3484CC13EFB7}" name="Kvartal 1 2024" totalsRowFunction="sum" dataDxfId="32" totalsRowDxfId="31"/>
    <tableColumn id="3" xr3:uid="{352CDEE8-EF55-4DF7-97A4-D7B50C9D5C32}" name="Kvartal 2 2024" totalsRowFunction="sum" dataDxfId="30" totalsRowDxfId="29"/>
    <tableColumn id="4" xr3:uid="{554022C8-C929-4534-AFC7-8CEF234CD49A}" name="Kvartal 3 2024" totalsRowFunction="sum" dataDxfId="28" totalsRowDxfId="27"/>
    <tableColumn id="5" xr3:uid="{0BA19ACC-1A76-4677-A8A6-7035E5741E55}" name="Kvartal 4 2024" totalsRowFunction="sum" dataDxfId="26" totalsRowDxfId="25"/>
    <tableColumn id="6" xr3:uid="{AA85C4F1-0A3C-4969-8EC9-650E6D6E2B82}" name="2024" totalsRowFunction="sum" dataDxfId="24" totalsRowDxfId="23"/>
    <tableColumn id="7" xr3:uid="{5ACDB1BE-1C3E-4728-B4DB-D23BD9280BF8}" name="Kvartal 1 2025" totalsRowFunction="sum" dataDxfId="22" totalsRowDxfId="21"/>
    <tableColumn id="8" xr3:uid="{771191E6-AF97-492C-A125-19F774C6CB3D}" name="Kvartal 2 2025" totalsRowFunction="sum" dataDxfId="20" totalsRowDxfId="19"/>
    <tableColumn id="9" xr3:uid="{C36EEF4F-E5A1-49BE-A791-5B453C7FE520}" name="Kvartal 3 2025" totalsRowFunction="sum" dataDxfId="18" totalsRowDxfId="17"/>
    <tableColumn id="10" xr3:uid="{A2D50347-EB6B-4E4D-82EB-EFDC4382F131}" name="Kvartal 4 2025" totalsRowFunction="sum" dataDxfId="16" totalsRowDxfId="15"/>
    <tableColumn id="11" xr3:uid="{84E22037-6BAF-4BC0-9FCD-86748D826B71}" name="2025" totalsRowFunction="sum" dataDxfId="14" totalsRowDxfId="13"/>
    <tableColumn id="12" xr3:uid="{2E191652-45E6-42ED-ACB3-CFFE075485D9}" name="Förändring kv 3 från 2024-2025" totalsRowFunction="custom" dataDxfId="12" totalsRowDxfId="11">
      <totalsRowFormula>M12/H12-1</totalsRowFormula>
    </tableColumn>
    <tableColumn id="13" xr3:uid="{85A2E91D-1262-4D21-AD1D-2476B65B9AE8}" name="Förändring kv 1-3 från 2024–2025" totalsRowFunction="custom" dataDxfId="10" totalsRowDxfId="9">
      <totalsRowFormula>O12/SUM(F12:H12)-1</totalsRowFormula>
    </tableColumn>
    <tableColumn id="14" xr3:uid="{656414EB-91CF-4ADF-BB32-43ECEAA7AC1D}" name="Procentuell andel 2025*" totalsRowFunction="sum" dataDxfId="8" totalsRowDxfId="7"/>
  </tableColumns>
  <tableStyleInfo name="Kvartalsstatistik" showFirstColumn="1" showLastColumn="0" showRowStripes="1" showColumnStripes="0"/>
  <extLst>
    <ext xmlns:x14="http://schemas.microsoft.com/office/spreadsheetml/2009/9/main" uri="{504A1905-F514-4f6f-8877-14C23A59335A}">
      <x14:table altText="Tabell över antal slaktade får och lamm" altTextSummary="Tabellen visar de större slakterierna kvartalsvis i år och förra året samt årsvis ytterligare fyra år tillbaka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09B323F-ED65-4B3C-B0FE-68F3A64775CC}" name="Tabell_Årshistorik" displayName="Tabell_Årshistorik" ref="A2:G27" totalsRowShown="0">
  <autoFilter ref="A2:G27" xr:uid="{D4AD92F7-E702-42E6-963F-C7916247EAC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sortState xmlns:xlrd2="http://schemas.microsoft.com/office/spreadsheetml/2017/richdata2" ref="A3:G17">
    <sortCondition descending="1" ref="A6"/>
  </sortState>
  <tableColumns count="7">
    <tableColumn id="1" xr3:uid="{174714C2-AA15-4311-B03A-9F320A9F4D66}" name="År" dataDxfId="6"/>
    <tableColumn id="2" xr3:uid="{E899C2D2-2C49-4A69-8407-F51BB2F61814}" name="Svin" dataDxfId="5"/>
    <tableColumn id="3" xr3:uid="{E3A93A79-DA34-4210-8571-6732759A6986}" name="Storboskap" dataDxfId="4"/>
    <tableColumn id="4" xr3:uid="{269CE713-CB4A-4338-9E13-2780EE2F2D38}" name="Kalv" dataDxfId="3"/>
    <tableColumn id="5" xr3:uid="{29C687DE-099E-427E-9A1A-FE11BD95DADF}" name="Får" dataDxfId="2"/>
    <tableColumn id="6" xr3:uid="{D2DB4CE9-CDDB-4114-AAA5-56AD9B1B8605}" name="Get" dataDxfId="1"/>
    <tableColumn id="7" xr3:uid="{E3B5EBC5-F594-4316-8D86-705CCC37311E}" name="Häst" dataDxfId="0"/>
  </tableColumns>
  <tableStyleInfo name="Kvartalsstatistik" showFirstColumn="1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FFAEE-E8B6-4284-9DA0-4F2F41D82204}">
  <sheetPr codeName="flSvin">
    <pageSetUpPr fitToPage="1"/>
  </sheetPr>
  <dimension ref="A1:S60"/>
  <sheetViews>
    <sheetView tabSelected="1" workbookViewId="0">
      <selection activeCell="A2" sqref="A2"/>
    </sheetView>
  </sheetViews>
  <sheetFormatPr defaultColWidth="9.1796875" defaultRowHeight="14.5" x14ac:dyDescent="0.35"/>
  <cols>
    <col min="1" max="1" width="27" customWidth="1"/>
    <col min="2" max="2" width="8.81640625" bestFit="1" customWidth="1"/>
    <col min="3" max="3" width="9.453125" customWidth="1"/>
    <col min="4" max="4" width="9.26953125" customWidth="1"/>
    <col min="5" max="5" width="9.1796875" customWidth="1"/>
    <col min="6" max="9" width="8.26953125" customWidth="1"/>
    <col min="10" max="10" width="8.7265625" customWidth="1"/>
    <col min="11" max="14" width="8.26953125" customWidth="1"/>
    <col min="15" max="15" width="9.1796875" customWidth="1"/>
    <col min="16" max="16" width="10.7265625" customWidth="1"/>
    <col min="17" max="17" width="11.26953125" customWidth="1"/>
    <col min="18" max="18" width="11.54296875" customWidth="1"/>
  </cols>
  <sheetData>
    <row r="1" spans="1:19" ht="92.25" customHeight="1" x14ac:dyDescent="0.35">
      <c r="A1" s="1" t="s">
        <v>0</v>
      </c>
      <c r="J1" s="1"/>
      <c r="R1" s="2"/>
    </row>
    <row r="2" spans="1:19" ht="45" customHeight="1" x14ac:dyDescent="0.3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4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4" t="s">
        <v>15</v>
      </c>
      <c r="P2" s="6" t="s">
        <v>16</v>
      </c>
      <c r="Q2" s="6" t="s">
        <v>17</v>
      </c>
      <c r="R2" s="7" t="s">
        <v>18</v>
      </c>
      <c r="S2" s="8"/>
    </row>
    <row r="3" spans="1:19" ht="15" customHeight="1" x14ac:dyDescent="0.35">
      <c r="A3" t="s">
        <v>19</v>
      </c>
      <c r="B3" s="9">
        <v>78626</v>
      </c>
      <c r="C3" s="9">
        <v>75524</v>
      </c>
      <c r="D3" s="9">
        <v>67029</v>
      </c>
      <c r="E3" s="9">
        <v>52236</v>
      </c>
      <c r="F3" s="10">
        <v>12964</v>
      </c>
      <c r="G3" s="10">
        <v>12255</v>
      </c>
      <c r="H3" s="10">
        <v>12959</v>
      </c>
      <c r="I3" s="10">
        <v>11859</v>
      </c>
      <c r="J3" s="9">
        <v>50037</v>
      </c>
      <c r="K3" s="11">
        <v>12581</v>
      </c>
      <c r="L3" s="11">
        <v>11267</v>
      </c>
      <c r="M3" s="11">
        <v>11197</v>
      </c>
      <c r="N3" s="11"/>
      <c r="O3" s="9">
        <v>35045</v>
      </c>
      <c r="P3" s="12">
        <v>-0.13596728142603598</v>
      </c>
      <c r="Q3" s="12">
        <v>-8.2062968201582098E-2</v>
      </c>
      <c r="R3" s="13">
        <v>1.7978303939785379E-2</v>
      </c>
      <c r="S3" s="14"/>
    </row>
    <row r="4" spans="1:19" ht="15" customHeight="1" x14ac:dyDescent="0.35">
      <c r="A4" t="s">
        <v>20</v>
      </c>
      <c r="B4" s="9">
        <v>50345</v>
      </c>
      <c r="C4" s="9">
        <v>52910</v>
      </c>
      <c r="D4" s="9">
        <v>51544</v>
      </c>
      <c r="E4" s="9">
        <v>51504</v>
      </c>
      <c r="F4" s="10">
        <v>13792</v>
      </c>
      <c r="G4" s="10">
        <v>12265</v>
      </c>
      <c r="H4" s="10">
        <v>12135</v>
      </c>
      <c r="I4" s="10">
        <v>12444</v>
      </c>
      <c r="J4" s="9">
        <v>50636</v>
      </c>
      <c r="K4" s="11">
        <v>12988</v>
      </c>
      <c r="L4" s="11">
        <v>11983</v>
      </c>
      <c r="M4" s="11">
        <v>11353</v>
      </c>
      <c r="N4" s="11"/>
      <c r="O4" s="9">
        <v>36324</v>
      </c>
      <c r="P4" s="12">
        <v>-6.4441697569015299E-2</v>
      </c>
      <c r="Q4" s="12">
        <v>-4.8910766652702109E-2</v>
      </c>
      <c r="R4" s="13">
        <v>1.863443893019729E-2</v>
      </c>
    </row>
    <row r="5" spans="1:19" ht="15" customHeight="1" x14ac:dyDescent="0.35">
      <c r="A5" t="s">
        <v>21</v>
      </c>
      <c r="B5" s="9">
        <v>2242</v>
      </c>
      <c r="C5" s="9">
        <v>2179</v>
      </c>
      <c r="D5" s="9">
        <v>2226</v>
      </c>
      <c r="E5" s="9">
        <v>1630</v>
      </c>
      <c r="F5" s="10">
        <v>376</v>
      </c>
      <c r="G5" s="10">
        <v>541</v>
      </c>
      <c r="H5" s="10">
        <v>440</v>
      </c>
      <c r="I5" s="10">
        <v>536</v>
      </c>
      <c r="J5" s="9">
        <v>1893</v>
      </c>
      <c r="K5" s="11">
        <v>443</v>
      </c>
      <c r="L5" s="11">
        <v>487</v>
      </c>
      <c r="M5" s="11">
        <v>460</v>
      </c>
      <c r="N5" s="11"/>
      <c r="O5" s="9">
        <v>1390</v>
      </c>
      <c r="P5" s="12">
        <v>4.5454545454545414E-2</v>
      </c>
      <c r="Q5" s="12">
        <v>2.4318349299926378E-2</v>
      </c>
      <c r="R5" s="13">
        <v>7.1307868387221224E-4</v>
      </c>
    </row>
    <row r="6" spans="1:19" ht="15" customHeight="1" x14ac:dyDescent="0.35">
      <c r="A6" t="s">
        <v>22</v>
      </c>
      <c r="B6" s="9">
        <v>207876</v>
      </c>
      <c r="C6" s="9">
        <v>204679</v>
      </c>
      <c r="D6" s="9">
        <v>210698</v>
      </c>
      <c r="E6" s="9">
        <v>208268</v>
      </c>
      <c r="F6" s="10">
        <v>54632</v>
      </c>
      <c r="G6" s="10">
        <v>54412</v>
      </c>
      <c r="H6" s="10">
        <v>53781</v>
      </c>
      <c r="I6" s="10">
        <v>50897</v>
      </c>
      <c r="J6" s="9">
        <v>213722</v>
      </c>
      <c r="K6" s="11">
        <v>54523</v>
      </c>
      <c r="L6" s="11">
        <v>51330</v>
      </c>
      <c r="M6" s="11">
        <v>57767</v>
      </c>
      <c r="N6" s="11"/>
      <c r="O6" s="9">
        <v>163620</v>
      </c>
      <c r="P6" s="12">
        <v>7.4115393912348226E-2</v>
      </c>
      <c r="Q6" s="12">
        <v>4.8825426070935318E-3</v>
      </c>
      <c r="R6" s="13">
        <v>8.3938082197965003E-2</v>
      </c>
    </row>
    <row r="7" spans="1:19" ht="15" customHeight="1" x14ac:dyDescent="0.35">
      <c r="A7" t="s">
        <v>23</v>
      </c>
      <c r="B7" s="9">
        <v>47191</v>
      </c>
      <c r="C7" s="9">
        <v>58126</v>
      </c>
      <c r="D7" s="9">
        <v>60953</v>
      </c>
      <c r="E7" s="9">
        <v>56468</v>
      </c>
      <c r="F7" s="10">
        <v>16031</v>
      </c>
      <c r="G7" s="10">
        <v>14615</v>
      </c>
      <c r="H7" s="10">
        <v>16602</v>
      </c>
      <c r="I7" s="10">
        <v>14503</v>
      </c>
      <c r="J7" s="9">
        <v>61751</v>
      </c>
      <c r="K7" s="11">
        <v>15253</v>
      </c>
      <c r="L7" s="11">
        <v>13502</v>
      </c>
      <c r="M7" s="11">
        <v>16374</v>
      </c>
      <c r="N7" s="11"/>
      <c r="O7" s="9">
        <v>45129</v>
      </c>
      <c r="P7" s="12">
        <v>-1.3733285146367957E-2</v>
      </c>
      <c r="Q7" s="12">
        <v>-4.4848459194040013E-2</v>
      </c>
      <c r="R7" s="13">
        <v>2.3151458938466953E-2</v>
      </c>
    </row>
    <row r="8" spans="1:19" ht="15" customHeight="1" x14ac:dyDescent="0.35">
      <c r="A8" t="s">
        <v>24</v>
      </c>
      <c r="B8" s="9">
        <v>381212</v>
      </c>
      <c r="C8" s="9">
        <v>396781</v>
      </c>
      <c r="D8" s="9">
        <v>399539</v>
      </c>
      <c r="E8" s="9">
        <v>382237</v>
      </c>
      <c r="F8" s="10">
        <v>99597</v>
      </c>
      <c r="G8" s="10">
        <v>94941</v>
      </c>
      <c r="H8" s="10">
        <v>98948</v>
      </c>
      <c r="I8" s="10">
        <v>97019</v>
      </c>
      <c r="J8" s="9">
        <v>390505</v>
      </c>
      <c r="K8" s="11">
        <v>97876</v>
      </c>
      <c r="L8" s="11">
        <v>94933</v>
      </c>
      <c r="M8" s="11">
        <v>99271</v>
      </c>
      <c r="N8" s="11"/>
      <c r="O8" s="9">
        <v>292080</v>
      </c>
      <c r="P8" s="12">
        <v>3.264340865909432E-3</v>
      </c>
      <c r="Q8" s="12">
        <v>-4.7906884825852369E-3</v>
      </c>
      <c r="R8" s="13">
        <v>0.14983886473769478</v>
      </c>
    </row>
    <row r="9" spans="1:19" ht="15" customHeight="1" x14ac:dyDescent="0.35">
      <c r="A9" t="s">
        <v>25</v>
      </c>
      <c r="B9" s="9">
        <v>397509</v>
      </c>
      <c r="C9" s="9">
        <v>393976</v>
      </c>
      <c r="D9" s="9">
        <v>399235</v>
      </c>
      <c r="E9" s="9">
        <v>368386</v>
      </c>
      <c r="F9" s="10">
        <v>99392</v>
      </c>
      <c r="G9" s="10">
        <v>93660</v>
      </c>
      <c r="H9" s="10">
        <v>99755</v>
      </c>
      <c r="I9" s="10">
        <v>96943</v>
      </c>
      <c r="J9" s="9">
        <v>389750</v>
      </c>
      <c r="K9" s="11">
        <v>98404</v>
      </c>
      <c r="L9" s="11">
        <v>93063</v>
      </c>
      <c r="M9" s="11">
        <v>94455</v>
      </c>
      <c r="N9" s="11"/>
      <c r="O9" s="9">
        <v>285922</v>
      </c>
      <c r="P9" s="12">
        <v>-5.3130168913838927E-2</v>
      </c>
      <c r="Q9" s="12">
        <v>-2.3513782115864745E-2</v>
      </c>
      <c r="R9" s="13">
        <v>0.14667977226626666</v>
      </c>
    </row>
    <row r="10" spans="1:19" ht="15" customHeight="1" x14ac:dyDescent="0.35">
      <c r="A10" t="s">
        <v>26</v>
      </c>
      <c r="B10" s="9">
        <v>249504</v>
      </c>
      <c r="C10" s="9">
        <v>247645</v>
      </c>
      <c r="D10" s="9">
        <v>244006</v>
      </c>
      <c r="E10" s="9">
        <v>232800</v>
      </c>
      <c r="F10" s="10">
        <v>60933</v>
      </c>
      <c r="G10" s="10">
        <v>56905</v>
      </c>
      <c r="H10" s="10">
        <v>60685</v>
      </c>
      <c r="I10" s="10">
        <v>57178</v>
      </c>
      <c r="J10" s="9">
        <v>235701</v>
      </c>
      <c r="K10" s="11">
        <v>57318</v>
      </c>
      <c r="L10" s="11">
        <v>54513</v>
      </c>
      <c r="M10" s="11">
        <v>60754</v>
      </c>
      <c r="N10" s="11"/>
      <c r="O10" s="9">
        <v>172585</v>
      </c>
      <c r="P10" s="12">
        <v>1.1370190327097962E-3</v>
      </c>
      <c r="Q10" s="12">
        <v>-3.3261820605748227E-2</v>
      </c>
      <c r="R10" s="13">
        <v>8.8537183205817077E-2</v>
      </c>
    </row>
    <row r="11" spans="1:19" ht="15" customHeight="1" x14ac:dyDescent="0.35">
      <c r="A11" t="s">
        <v>27</v>
      </c>
      <c r="B11" s="9">
        <v>28220</v>
      </c>
      <c r="C11" s="9">
        <v>35961</v>
      </c>
      <c r="D11" s="9">
        <v>39651</v>
      </c>
      <c r="E11" s="9">
        <v>35146</v>
      </c>
      <c r="F11" s="10">
        <v>8505</v>
      </c>
      <c r="G11" s="10">
        <v>7818</v>
      </c>
      <c r="H11" s="10">
        <v>8010</v>
      </c>
      <c r="I11" s="10">
        <v>7388</v>
      </c>
      <c r="J11" s="9">
        <v>31721</v>
      </c>
      <c r="K11" s="11">
        <v>7745</v>
      </c>
      <c r="L11" s="11">
        <v>8581</v>
      </c>
      <c r="M11" s="11">
        <v>10171</v>
      </c>
      <c r="N11" s="11"/>
      <c r="O11" s="9">
        <v>26497</v>
      </c>
      <c r="P11" s="12">
        <v>0.26978776529338333</v>
      </c>
      <c r="Q11" s="12">
        <v>8.8932725105823396E-2</v>
      </c>
      <c r="R11" s="13">
        <v>1.3593126537094968E-2</v>
      </c>
    </row>
    <row r="12" spans="1:19" ht="15" customHeight="1" x14ac:dyDescent="0.35">
      <c r="A12" t="s">
        <v>28</v>
      </c>
      <c r="B12" s="9">
        <v>31306</v>
      </c>
      <c r="C12" s="9">
        <v>32085</v>
      </c>
      <c r="D12" s="9">
        <v>28556</v>
      </c>
      <c r="E12" s="9">
        <v>23771</v>
      </c>
      <c r="F12" s="10">
        <v>5983</v>
      </c>
      <c r="G12" s="10">
        <v>5804</v>
      </c>
      <c r="H12" s="10">
        <v>6132</v>
      </c>
      <c r="I12" s="10">
        <v>4613</v>
      </c>
      <c r="J12" s="9">
        <v>22532</v>
      </c>
      <c r="K12" s="11">
        <v>3249</v>
      </c>
      <c r="L12" s="11">
        <v>4378</v>
      </c>
      <c r="M12" s="11">
        <v>4338</v>
      </c>
      <c r="N12" s="11"/>
      <c r="O12" s="9">
        <v>11965</v>
      </c>
      <c r="P12" s="12">
        <v>-0.29256360078277888</v>
      </c>
      <c r="Q12" s="12">
        <v>-0.33227300630615553</v>
      </c>
      <c r="R12" s="13">
        <v>6.138119750022316E-3</v>
      </c>
    </row>
    <row r="13" spans="1:19" ht="15" customHeight="1" x14ac:dyDescent="0.35">
      <c r="A13" t="s">
        <v>29</v>
      </c>
      <c r="B13" s="9">
        <v>66805</v>
      </c>
      <c r="C13" s="9">
        <v>70437</v>
      </c>
      <c r="D13" s="9">
        <v>68452</v>
      </c>
      <c r="E13" s="9">
        <v>64095</v>
      </c>
      <c r="F13" s="10">
        <v>16940</v>
      </c>
      <c r="G13" s="10">
        <v>16642</v>
      </c>
      <c r="H13" s="10">
        <v>16048</v>
      </c>
      <c r="I13" s="10">
        <v>15513</v>
      </c>
      <c r="J13" s="9">
        <v>65143</v>
      </c>
      <c r="K13" s="11">
        <v>16784</v>
      </c>
      <c r="L13" s="11">
        <v>16131</v>
      </c>
      <c r="M13" s="11">
        <v>16339</v>
      </c>
      <c r="N13" s="11"/>
      <c r="O13" s="9">
        <v>49254</v>
      </c>
      <c r="P13" s="12">
        <v>1.813310069790619E-2</v>
      </c>
      <c r="Q13" s="12">
        <v>-7.5760628652025153E-3</v>
      </c>
      <c r="R13" s="13">
        <v>2.5267609708951037E-2</v>
      </c>
    </row>
    <row r="14" spans="1:19" ht="15" customHeight="1" x14ac:dyDescent="0.35">
      <c r="A14" t="s">
        <v>30</v>
      </c>
      <c r="B14" s="9">
        <v>2646</v>
      </c>
      <c r="C14" s="9">
        <v>2365</v>
      </c>
      <c r="D14" s="9">
        <v>2289</v>
      </c>
      <c r="E14" s="9">
        <v>2697</v>
      </c>
      <c r="F14" s="10">
        <v>535</v>
      </c>
      <c r="G14" s="10">
        <v>647</v>
      </c>
      <c r="H14" s="10">
        <v>753</v>
      </c>
      <c r="I14" s="10">
        <v>771</v>
      </c>
      <c r="J14" s="9">
        <v>2706</v>
      </c>
      <c r="K14" s="11">
        <v>487</v>
      </c>
      <c r="L14" s="11">
        <v>709</v>
      </c>
      <c r="M14" s="11">
        <v>639</v>
      </c>
      <c r="N14" s="11"/>
      <c r="O14" s="9">
        <v>1835</v>
      </c>
      <c r="P14" s="12">
        <v>-0.15139442231075695</v>
      </c>
      <c r="Q14" s="12">
        <v>-5.1679586563307511E-2</v>
      </c>
      <c r="R14" s="13">
        <v>9.4136646396079807E-4</v>
      </c>
    </row>
    <row r="15" spans="1:19" ht="15" customHeight="1" x14ac:dyDescent="0.35">
      <c r="A15" t="s">
        <v>31</v>
      </c>
      <c r="B15" s="9">
        <v>476</v>
      </c>
      <c r="C15" s="9">
        <v>384</v>
      </c>
      <c r="D15" s="9">
        <v>613</v>
      </c>
      <c r="E15" s="9">
        <v>594</v>
      </c>
      <c r="F15" s="10">
        <v>251</v>
      </c>
      <c r="G15" s="10">
        <v>321</v>
      </c>
      <c r="H15" s="10">
        <v>273</v>
      </c>
      <c r="I15" s="10">
        <v>340</v>
      </c>
      <c r="J15" s="9">
        <v>1185</v>
      </c>
      <c r="K15" s="11">
        <v>264</v>
      </c>
      <c r="L15" s="11">
        <v>316</v>
      </c>
      <c r="M15" s="11">
        <v>271</v>
      </c>
      <c r="N15" s="11"/>
      <c r="O15" s="9">
        <v>851</v>
      </c>
      <c r="P15" s="12">
        <v>-7.3260073260073E-3</v>
      </c>
      <c r="Q15" s="12">
        <v>7.1005917159763232E-3</v>
      </c>
      <c r="R15" s="13">
        <v>4.3656831652895867E-4</v>
      </c>
    </row>
    <row r="16" spans="1:19" ht="15" customHeight="1" x14ac:dyDescent="0.35">
      <c r="A16" t="s">
        <v>32</v>
      </c>
      <c r="B16" s="9">
        <v>689218</v>
      </c>
      <c r="C16" s="9">
        <v>712620</v>
      </c>
      <c r="D16" s="9">
        <v>730029</v>
      </c>
      <c r="E16" s="9">
        <v>738536</v>
      </c>
      <c r="F16" s="10">
        <v>174618</v>
      </c>
      <c r="G16" s="10">
        <v>172435</v>
      </c>
      <c r="H16" s="10">
        <v>186707</v>
      </c>
      <c r="I16" s="10">
        <v>186157</v>
      </c>
      <c r="J16" s="9">
        <v>719917</v>
      </c>
      <c r="K16" s="11">
        <v>189957</v>
      </c>
      <c r="L16" s="11">
        <v>180511</v>
      </c>
      <c r="M16" s="11">
        <v>191315</v>
      </c>
      <c r="N16" s="11"/>
      <c r="O16" s="9">
        <v>561783</v>
      </c>
      <c r="P16" s="12">
        <v>2.4680381560412856E-2</v>
      </c>
      <c r="Q16" s="12">
        <v>5.2501124100719387E-2</v>
      </c>
      <c r="R16" s="13">
        <v>0.28819818867754171</v>
      </c>
    </row>
    <row r="17" spans="1:18" ht="15" customHeight="1" x14ac:dyDescent="0.35">
      <c r="A17" t="s">
        <v>33</v>
      </c>
      <c r="B17" s="9">
        <v>345840</v>
      </c>
      <c r="C17" s="9">
        <v>334384</v>
      </c>
      <c r="D17" s="9">
        <v>340815</v>
      </c>
      <c r="E17" s="9">
        <v>334188</v>
      </c>
      <c r="F17" s="10">
        <v>83011</v>
      </c>
      <c r="G17" s="10">
        <v>80086</v>
      </c>
      <c r="H17" s="10">
        <v>83893</v>
      </c>
      <c r="I17" s="10">
        <v>82254</v>
      </c>
      <c r="J17" s="9">
        <v>329244</v>
      </c>
      <c r="K17" s="11">
        <v>89026</v>
      </c>
      <c r="L17" s="11">
        <v>83106</v>
      </c>
      <c r="M17" s="11">
        <v>87843</v>
      </c>
      <c r="N17" s="11"/>
      <c r="O17" s="9">
        <v>259975</v>
      </c>
      <c r="P17" s="12">
        <v>4.7083785297939107E-2</v>
      </c>
      <c r="Q17" s="12">
        <v>5.2572978663103731E-2</v>
      </c>
      <c r="R17" s="13">
        <v>0.13336879916523622</v>
      </c>
    </row>
    <row r="18" spans="1:18" ht="15" customHeight="1" x14ac:dyDescent="0.35">
      <c r="A18" s="15" t="s">
        <v>34</v>
      </c>
      <c r="B18" s="9">
        <v>38565</v>
      </c>
      <c r="C18" s="9">
        <v>27791</v>
      </c>
      <c r="D18" s="9">
        <v>23293</v>
      </c>
      <c r="E18" s="9">
        <v>15778</v>
      </c>
      <c r="F18" s="10">
        <v>2813</v>
      </c>
      <c r="G18" s="10">
        <v>2758</v>
      </c>
      <c r="H18" s="10">
        <v>1962</v>
      </c>
      <c r="I18" s="10">
        <v>2660</v>
      </c>
      <c r="J18" s="9">
        <v>10193</v>
      </c>
      <c r="K18" s="11">
        <v>1360</v>
      </c>
      <c r="L18" s="11">
        <v>1921</v>
      </c>
      <c r="M18" s="11">
        <v>1758</v>
      </c>
      <c r="N18" s="11"/>
      <c r="O18" s="9">
        <v>5039</v>
      </c>
      <c r="P18" s="12">
        <v>-0.10397553516819569</v>
      </c>
      <c r="Q18" s="12">
        <v>-0.3310765963095712</v>
      </c>
      <c r="R18" s="13">
        <v>2.5850384805986169E-3</v>
      </c>
    </row>
    <row r="19" spans="1:18" ht="15" customHeight="1" x14ac:dyDescent="0.35">
      <c r="A19" t="s">
        <v>35</v>
      </c>
      <c r="B19" s="9">
        <f>SUBTOTAL(109,Tabell_Gris[2020])</f>
        <v>2617581</v>
      </c>
      <c r="C19" s="9">
        <f>SUBTOTAL(109,Tabell_Gris[2021])</f>
        <v>2647847</v>
      </c>
      <c r="D19" s="9">
        <f>SUBTOTAL(109,Tabell_Gris[2022])</f>
        <v>2668928</v>
      </c>
      <c r="E19" s="9">
        <f>SUBTOTAL(109,Tabell_Gris[2023])</f>
        <v>2568334</v>
      </c>
      <c r="F19" s="9">
        <f>SUBTOTAL(109,Tabell_Gris[Kvartal 1 2024])</f>
        <v>650373</v>
      </c>
      <c r="G19" s="9">
        <f>SUBTOTAL(109,Tabell_Gris[Kvartal 2 2024])</f>
        <v>626105</v>
      </c>
      <c r="H19" s="9">
        <f>SUBTOTAL(109,Tabell_Gris[Kvartal 3 2024])</f>
        <v>659083</v>
      </c>
      <c r="I19" s="9">
        <f>SUBTOTAL(109,Tabell_Gris[Kvartal 4 2024])</f>
        <v>641075</v>
      </c>
      <c r="J19" s="9">
        <f>SUBTOTAL(109,Tabell_Gris[2024])</f>
        <v>2576636</v>
      </c>
      <c r="K19" s="9">
        <f>SUBTOTAL(109,Tabell_Gris[Kvartal 1 2025])</f>
        <v>658258</v>
      </c>
      <c r="L19" s="9">
        <f>SUBTOTAL(109,Tabell_Gris[Kvartal 2 2025])</f>
        <v>626731</v>
      </c>
      <c r="M19" s="9">
        <f>SUBTOTAL(109,Tabell_Gris[Kvartal 3 2025])</f>
        <v>664305</v>
      </c>
      <c r="N19" s="9">
        <f>SUBTOTAL(109,Tabell_Gris[Kvartal 4 2025])</f>
        <v>0</v>
      </c>
      <c r="O19" s="9">
        <f>SUBTOTAL(109,Tabell_Gris[2025])</f>
        <v>1949294</v>
      </c>
      <c r="P19" s="16">
        <f>M19/H19-1</f>
        <v>7.923129560313269E-3</v>
      </c>
      <c r="Q19" s="16">
        <f>O19/SUM(F19:H19)-1</f>
        <v>7.0951005935746547E-3</v>
      </c>
      <c r="R19" s="13">
        <f>SUBTOTAL(109,Tabell_Gris[Procentuell andel 2025*])</f>
        <v>1</v>
      </c>
    </row>
    <row r="20" spans="1:18" ht="15" customHeight="1" x14ac:dyDescent="0.35">
      <c r="A20" t="s">
        <v>36</v>
      </c>
    </row>
    <row r="21" spans="1:18" ht="15" customHeight="1" x14ac:dyDescent="0.35">
      <c r="A21" t="s">
        <v>37</v>
      </c>
    </row>
    <row r="22" spans="1:18" ht="15" customHeight="1" x14ac:dyDescent="0.35">
      <c r="A22" t="s">
        <v>38</v>
      </c>
    </row>
    <row r="23" spans="1:18" ht="15" customHeight="1" x14ac:dyDescent="0.35">
      <c r="A23" t="s">
        <v>39</v>
      </c>
    </row>
    <row r="24" spans="1:18" ht="15" customHeight="1" x14ac:dyDescent="0.35"/>
    <row r="25" spans="1:18" ht="15" customHeight="1" x14ac:dyDescent="0.35"/>
    <row r="26" spans="1:18" ht="15" customHeight="1" x14ac:dyDescent="0.35"/>
    <row r="27" spans="1:18" ht="15" customHeight="1" x14ac:dyDescent="0.35"/>
    <row r="28" spans="1:18" ht="15" customHeight="1" x14ac:dyDescent="0.35"/>
    <row r="29" spans="1:18" ht="15" customHeight="1" x14ac:dyDescent="0.35"/>
    <row r="30" spans="1:18" ht="15" customHeight="1" x14ac:dyDescent="0.35"/>
    <row r="31" spans="1:18" ht="15" customHeight="1" x14ac:dyDescent="0.35"/>
    <row r="32" spans="1:18" ht="15" customHeight="1" x14ac:dyDescent="0.35"/>
    <row r="33" ht="15" customHeight="1" x14ac:dyDescent="0.35"/>
    <row r="34" ht="15" customHeight="1" x14ac:dyDescent="0.35"/>
    <row r="35" ht="15" customHeight="1" x14ac:dyDescent="0.35"/>
    <row r="36" ht="15" customHeight="1" x14ac:dyDescent="0.35"/>
    <row r="37" ht="15" customHeight="1" x14ac:dyDescent="0.35"/>
    <row r="38" ht="15" customHeight="1" x14ac:dyDescent="0.35"/>
    <row r="39" ht="15" customHeight="1" x14ac:dyDescent="0.35"/>
    <row r="40" ht="15" customHeight="1" x14ac:dyDescent="0.35"/>
    <row r="41" ht="15" customHeight="1" x14ac:dyDescent="0.35"/>
    <row r="42" ht="15" customHeight="1" x14ac:dyDescent="0.35"/>
    <row r="43" ht="15" customHeight="1" x14ac:dyDescent="0.35"/>
    <row r="44" ht="15" customHeight="1" x14ac:dyDescent="0.35"/>
    <row r="45" ht="15" customHeight="1" x14ac:dyDescent="0.35"/>
    <row r="46" ht="15" customHeight="1" x14ac:dyDescent="0.35"/>
    <row r="47" ht="15" customHeight="1" x14ac:dyDescent="0.35"/>
    <row r="48" ht="15" customHeight="1" x14ac:dyDescent="0.35"/>
    <row r="49" ht="15" customHeight="1" x14ac:dyDescent="0.35"/>
    <row r="50" ht="15" customHeight="1" x14ac:dyDescent="0.35"/>
    <row r="51" ht="15" customHeight="1" x14ac:dyDescent="0.35"/>
    <row r="52" ht="15" customHeight="1" x14ac:dyDescent="0.35"/>
    <row r="53" ht="15" customHeight="1" x14ac:dyDescent="0.35"/>
    <row r="54" ht="15" customHeight="1" x14ac:dyDescent="0.35"/>
    <row r="55" ht="15" customHeight="1" x14ac:dyDescent="0.35"/>
    <row r="56" ht="15" customHeight="1" x14ac:dyDescent="0.35"/>
    <row r="57" ht="15" customHeight="1" x14ac:dyDescent="0.35"/>
    <row r="58" ht="15" customHeight="1" x14ac:dyDescent="0.35"/>
    <row r="59" ht="15" customHeight="1" x14ac:dyDescent="0.35"/>
    <row r="60" ht="15" customHeight="1" x14ac:dyDescent="0.35"/>
  </sheetData>
  <pageMargins left="0.70866141732283472" right="0.31496062992125984" top="0.55118110236220474" bottom="0.74803149606299213" header="0.31496062992125984" footer="0.31496062992125984"/>
  <pageSetup paperSize="9" scale="76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BE13C-5297-4EDA-83A9-5808524D4A39}">
  <sheetPr codeName="flStorb">
    <pageSetUpPr fitToPage="1"/>
  </sheetPr>
  <dimension ref="A1:R79"/>
  <sheetViews>
    <sheetView workbookViewId="0">
      <selection activeCell="A2" sqref="A2"/>
    </sheetView>
  </sheetViews>
  <sheetFormatPr defaultColWidth="9.1796875" defaultRowHeight="14.5" x14ac:dyDescent="0.35"/>
  <cols>
    <col min="1" max="1" width="27" customWidth="1"/>
    <col min="2" max="15" width="8.26953125" customWidth="1"/>
    <col min="16" max="16" width="9.26953125" customWidth="1"/>
    <col min="17" max="17" width="10.1796875" customWidth="1"/>
    <col min="18" max="18" width="10" customWidth="1"/>
  </cols>
  <sheetData>
    <row r="1" spans="1:18" ht="92.25" customHeight="1" x14ac:dyDescent="0.35">
      <c r="A1" s="1" t="s">
        <v>40</v>
      </c>
      <c r="C1" s="1"/>
      <c r="J1" s="1"/>
      <c r="R1" s="2"/>
    </row>
    <row r="2" spans="1:18" ht="45" customHeight="1" x14ac:dyDescent="0.3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4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4" t="s">
        <v>15</v>
      </c>
      <c r="P2" s="6" t="s">
        <v>16</v>
      </c>
      <c r="Q2" s="6" t="s">
        <v>17</v>
      </c>
      <c r="R2" s="7" t="s">
        <v>18</v>
      </c>
    </row>
    <row r="3" spans="1:18" ht="15" customHeight="1" x14ac:dyDescent="0.35">
      <c r="A3" t="s">
        <v>41</v>
      </c>
      <c r="B3" s="9">
        <v>1442</v>
      </c>
      <c r="C3" s="9">
        <v>1385</v>
      </c>
      <c r="D3" s="9">
        <v>1479</v>
      </c>
      <c r="E3" s="9">
        <v>1761</v>
      </c>
      <c r="F3" s="10">
        <v>385</v>
      </c>
      <c r="G3" s="10">
        <v>412</v>
      </c>
      <c r="H3" s="10">
        <v>352</v>
      </c>
      <c r="I3" s="10">
        <v>469</v>
      </c>
      <c r="J3" s="9">
        <v>1618</v>
      </c>
      <c r="K3" s="11">
        <v>392</v>
      </c>
      <c r="L3" s="11">
        <v>346</v>
      </c>
      <c r="M3" s="11">
        <v>405</v>
      </c>
      <c r="N3" s="11"/>
      <c r="O3" s="9">
        <v>1143</v>
      </c>
      <c r="P3" s="12">
        <v>0.15056818181818188</v>
      </c>
      <c r="Q3" s="12">
        <v>-5.2219321148825326E-3</v>
      </c>
      <c r="R3" s="13">
        <v>4.196774762072612E-3</v>
      </c>
    </row>
    <row r="4" spans="1:18" ht="15" customHeight="1" x14ac:dyDescent="0.35">
      <c r="A4" t="s">
        <v>42</v>
      </c>
      <c r="B4" s="9">
        <v>1755</v>
      </c>
      <c r="C4" s="9">
        <v>1922</v>
      </c>
      <c r="D4" s="9">
        <v>2108</v>
      </c>
      <c r="E4" s="9">
        <v>2098</v>
      </c>
      <c r="F4" s="10">
        <v>471</v>
      </c>
      <c r="G4" s="10">
        <v>544</v>
      </c>
      <c r="H4" s="10">
        <v>497</v>
      </c>
      <c r="I4" s="10">
        <v>472</v>
      </c>
      <c r="J4" s="9">
        <v>1984</v>
      </c>
      <c r="K4" s="11">
        <v>471</v>
      </c>
      <c r="L4" s="11">
        <v>513</v>
      </c>
      <c r="M4" s="11">
        <v>509</v>
      </c>
      <c r="N4" s="11"/>
      <c r="O4" s="9">
        <v>1493</v>
      </c>
      <c r="P4" s="12">
        <v>2.4144869215291687E-2</v>
      </c>
      <c r="Q4" s="12">
        <v>-1.2566137566137559E-2</v>
      </c>
      <c r="R4" s="13">
        <v>5.4818763952532018E-3</v>
      </c>
    </row>
    <row r="5" spans="1:18" ht="15" customHeight="1" x14ac:dyDescent="0.35">
      <c r="A5" t="s">
        <v>22</v>
      </c>
      <c r="B5" s="9">
        <v>17416</v>
      </c>
      <c r="C5" s="9">
        <v>16340</v>
      </c>
      <c r="D5" s="9">
        <v>16534</v>
      </c>
      <c r="E5" s="9">
        <v>19177</v>
      </c>
      <c r="F5" s="10">
        <v>4436</v>
      </c>
      <c r="G5" s="10">
        <v>4333</v>
      </c>
      <c r="H5" s="10">
        <v>4868</v>
      </c>
      <c r="I5" s="10">
        <v>5621</v>
      </c>
      <c r="J5" s="9">
        <v>19258</v>
      </c>
      <c r="K5" s="11">
        <v>4237</v>
      </c>
      <c r="L5" s="11">
        <v>4384</v>
      </c>
      <c r="M5" s="11">
        <v>4413</v>
      </c>
      <c r="N5" s="11"/>
      <c r="O5" s="9">
        <v>13034</v>
      </c>
      <c r="P5" s="12">
        <v>-9.3467543138866072E-2</v>
      </c>
      <c r="Q5" s="12">
        <v>-4.4217936496296795E-2</v>
      </c>
      <c r="R5" s="13">
        <v>4.7857184819645168E-2</v>
      </c>
    </row>
    <row r="6" spans="1:18" ht="15" customHeight="1" x14ac:dyDescent="0.35">
      <c r="A6" t="s">
        <v>43</v>
      </c>
      <c r="B6" s="9">
        <v>1351</v>
      </c>
      <c r="C6" s="9">
        <v>832</v>
      </c>
      <c r="D6" s="9">
        <v>768</v>
      </c>
      <c r="E6" s="9">
        <v>808</v>
      </c>
      <c r="F6" s="10">
        <v>162</v>
      </c>
      <c r="G6" s="10">
        <v>88</v>
      </c>
      <c r="H6" s="10">
        <v>130</v>
      </c>
      <c r="I6" s="10">
        <v>166</v>
      </c>
      <c r="J6" s="9">
        <v>546</v>
      </c>
      <c r="K6" s="11">
        <v>116</v>
      </c>
      <c r="L6" s="11">
        <v>81</v>
      </c>
      <c r="M6" s="11">
        <v>124</v>
      </c>
      <c r="N6" s="11"/>
      <c r="O6" s="9">
        <v>321</v>
      </c>
      <c r="P6" s="12">
        <v>-4.6153846153846101E-2</v>
      </c>
      <c r="Q6" s="12">
        <v>-0.15526315789473688</v>
      </c>
      <c r="R6" s="13">
        <v>1.1786217835741981E-3</v>
      </c>
    </row>
    <row r="7" spans="1:18" ht="15" customHeight="1" x14ac:dyDescent="0.35">
      <c r="A7" t="s">
        <v>44</v>
      </c>
      <c r="B7" s="9">
        <v>9019</v>
      </c>
      <c r="C7" s="9">
        <v>10001</v>
      </c>
      <c r="D7" s="9">
        <v>9636</v>
      </c>
      <c r="E7" s="9">
        <v>12881</v>
      </c>
      <c r="F7" s="10">
        <v>3317</v>
      </c>
      <c r="G7" s="10">
        <v>2716</v>
      </c>
      <c r="H7" s="10">
        <v>3009</v>
      </c>
      <c r="I7" s="10">
        <v>3304</v>
      </c>
      <c r="J7" s="9">
        <v>12346</v>
      </c>
      <c r="K7" s="11">
        <v>3062</v>
      </c>
      <c r="L7" s="11">
        <v>2507</v>
      </c>
      <c r="M7" s="11">
        <v>2654</v>
      </c>
      <c r="N7" s="11"/>
      <c r="O7" s="9">
        <v>8223</v>
      </c>
      <c r="P7" s="12">
        <v>-0.11797939514788969</v>
      </c>
      <c r="Q7" s="12">
        <v>-9.0577305905773065E-2</v>
      </c>
      <c r="R7" s="13">
        <v>3.0192544941839972E-2</v>
      </c>
    </row>
    <row r="8" spans="1:18" ht="15" customHeight="1" x14ac:dyDescent="0.35">
      <c r="A8" t="s">
        <v>45</v>
      </c>
      <c r="B8" s="9">
        <v>14795</v>
      </c>
      <c r="C8" s="9">
        <v>14349</v>
      </c>
      <c r="D8" s="9">
        <v>14578</v>
      </c>
      <c r="E8" s="9">
        <v>14573</v>
      </c>
      <c r="F8" s="10">
        <v>3236</v>
      </c>
      <c r="G8" s="10">
        <v>3104</v>
      </c>
      <c r="H8" s="10">
        <v>3387</v>
      </c>
      <c r="I8" s="10">
        <v>3658</v>
      </c>
      <c r="J8" s="9">
        <v>13385</v>
      </c>
      <c r="K8" s="11">
        <v>2405</v>
      </c>
      <c r="L8" s="11">
        <v>2155</v>
      </c>
      <c r="M8" s="11">
        <v>2975</v>
      </c>
      <c r="N8" s="11"/>
      <c r="O8" s="9">
        <v>7535</v>
      </c>
      <c r="P8" s="12">
        <v>-0.12164157071154413</v>
      </c>
      <c r="Q8" s="12">
        <v>-0.22535211267605637</v>
      </c>
      <c r="R8" s="13">
        <v>2.7666402302902127E-2</v>
      </c>
    </row>
    <row r="9" spans="1:18" ht="15" customHeight="1" x14ac:dyDescent="0.35">
      <c r="A9" t="s">
        <v>46</v>
      </c>
      <c r="B9" s="9">
        <v>3479</v>
      </c>
      <c r="C9" s="9">
        <v>3488</v>
      </c>
      <c r="D9" s="9">
        <v>3566</v>
      </c>
      <c r="E9" s="9">
        <v>3267</v>
      </c>
      <c r="F9" s="10">
        <v>816</v>
      </c>
      <c r="G9" s="10">
        <v>897</v>
      </c>
      <c r="H9" s="10">
        <v>891</v>
      </c>
      <c r="I9" s="10">
        <v>908</v>
      </c>
      <c r="J9" s="9">
        <v>3512</v>
      </c>
      <c r="K9" s="11">
        <v>731</v>
      </c>
      <c r="L9" s="11">
        <v>727</v>
      </c>
      <c r="M9" s="11">
        <v>664</v>
      </c>
      <c r="N9" s="11"/>
      <c r="O9" s="9">
        <v>2122</v>
      </c>
      <c r="P9" s="12">
        <v>-0.25476992143658805</v>
      </c>
      <c r="Q9" s="12">
        <v>-0.18509984639016897</v>
      </c>
      <c r="R9" s="13">
        <v>7.7913876160263188E-3</v>
      </c>
    </row>
    <row r="10" spans="1:18" ht="15" customHeight="1" x14ac:dyDescent="0.35">
      <c r="A10" t="s">
        <v>23</v>
      </c>
      <c r="B10" s="9">
        <v>7883</v>
      </c>
      <c r="C10" s="9">
        <v>5917</v>
      </c>
      <c r="D10" s="9">
        <v>7466</v>
      </c>
      <c r="E10" s="9">
        <v>10006</v>
      </c>
      <c r="F10" s="10">
        <v>2811</v>
      </c>
      <c r="G10" s="10">
        <v>2655</v>
      </c>
      <c r="H10" s="10">
        <v>2992</v>
      </c>
      <c r="I10" s="10">
        <v>2687</v>
      </c>
      <c r="J10" s="9">
        <v>11145</v>
      </c>
      <c r="K10" s="11">
        <v>2721</v>
      </c>
      <c r="L10" s="11">
        <v>2611</v>
      </c>
      <c r="M10" s="11">
        <v>2881</v>
      </c>
      <c r="N10" s="11"/>
      <c r="O10" s="9">
        <v>8213</v>
      </c>
      <c r="P10" s="12">
        <v>-3.7098930481283432E-2</v>
      </c>
      <c r="Q10" s="12">
        <v>-2.89666587845826E-2</v>
      </c>
      <c r="R10" s="13">
        <v>3.0155827752320525E-2</v>
      </c>
    </row>
    <row r="11" spans="1:18" ht="15" customHeight="1" x14ac:dyDescent="0.35">
      <c r="A11" t="s">
        <v>47</v>
      </c>
      <c r="B11" s="9">
        <v>5242</v>
      </c>
      <c r="C11" s="9">
        <v>6125</v>
      </c>
      <c r="D11" s="9">
        <v>6078</v>
      </c>
      <c r="E11" s="9">
        <v>5993</v>
      </c>
      <c r="F11" s="10">
        <v>1779</v>
      </c>
      <c r="G11" s="10">
        <v>1638</v>
      </c>
      <c r="H11" s="10">
        <v>1875</v>
      </c>
      <c r="I11" s="10">
        <v>2471</v>
      </c>
      <c r="J11" s="9">
        <v>7763</v>
      </c>
      <c r="K11" s="11">
        <v>1598</v>
      </c>
      <c r="L11" s="11">
        <v>1447</v>
      </c>
      <c r="M11" s="11">
        <v>1641</v>
      </c>
      <c r="N11" s="11"/>
      <c r="O11" s="9">
        <v>4686</v>
      </c>
      <c r="P11" s="12">
        <v>-0.12480000000000002</v>
      </c>
      <c r="Q11" s="12">
        <v>-0.11451247165532885</v>
      </c>
      <c r="R11" s="13">
        <v>1.7205675008812125E-2</v>
      </c>
    </row>
    <row r="12" spans="1:18" ht="15" customHeight="1" x14ac:dyDescent="0.35">
      <c r="A12" t="s">
        <v>24</v>
      </c>
      <c r="B12" s="9">
        <v>32514</v>
      </c>
      <c r="C12" s="9">
        <v>34764</v>
      </c>
      <c r="D12" s="9">
        <v>34837</v>
      </c>
      <c r="E12" s="9">
        <v>35543</v>
      </c>
      <c r="F12" s="10">
        <v>8661</v>
      </c>
      <c r="G12" s="10">
        <v>8063</v>
      </c>
      <c r="H12" s="10">
        <v>8878</v>
      </c>
      <c r="I12" s="10">
        <v>8429</v>
      </c>
      <c r="J12" s="9">
        <v>34031</v>
      </c>
      <c r="K12" s="11">
        <v>7251</v>
      </c>
      <c r="L12" s="11">
        <v>6774</v>
      </c>
      <c r="M12" s="11">
        <v>7925</v>
      </c>
      <c r="N12" s="11"/>
      <c r="O12" s="9">
        <v>21950</v>
      </c>
      <c r="P12" s="12">
        <v>-0.10734399639558456</v>
      </c>
      <c r="Q12" s="12">
        <v>-0.14264510585110535</v>
      </c>
      <c r="R12" s="13">
        <v>8.0594230995182703E-2</v>
      </c>
    </row>
    <row r="13" spans="1:18" ht="15" customHeight="1" x14ac:dyDescent="0.35">
      <c r="A13" t="s">
        <v>25</v>
      </c>
      <c r="B13" s="9">
        <v>57394</v>
      </c>
      <c r="C13" s="9">
        <v>51303</v>
      </c>
      <c r="D13" s="9">
        <v>51489</v>
      </c>
      <c r="E13" s="9">
        <v>54678</v>
      </c>
      <c r="F13" s="10">
        <v>13598</v>
      </c>
      <c r="G13" s="10">
        <v>12792</v>
      </c>
      <c r="H13" s="10">
        <v>14421</v>
      </c>
      <c r="I13" s="10">
        <v>15453</v>
      </c>
      <c r="J13" s="9">
        <v>56264</v>
      </c>
      <c r="K13" s="11">
        <v>11015</v>
      </c>
      <c r="L13" s="11">
        <v>10831</v>
      </c>
      <c r="M13" s="11">
        <v>13358</v>
      </c>
      <c r="N13" s="11"/>
      <c r="O13" s="9">
        <v>35204</v>
      </c>
      <c r="P13" s="12">
        <v>-7.3711947853824289E-2</v>
      </c>
      <c r="Q13" s="12">
        <v>-0.13738942932052634</v>
      </c>
      <c r="R13" s="13">
        <v>0.12925919398425567</v>
      </c>
    </row>
    <row r="14" spans="1:18" ht="15" customHeight="1" x14ac:dyDescent="0.35">
      <c r="A14" t="s">
        <v>48</v>
      </c>
      <c r="B14" s="9">
        <v>50476</v>
      </c>
      <c r="C14" s="9">
        <v>43519</v>
      </c>
      <c r="D14" s="9">
        <v>45187</v>
      </c>
      <c r="E14" s="9">
        <v>49956</v>
      </c>
      <c r="F14" s="10">
        <v>12063</v>
      </c>
      <c r="G14" s="10">
        <v>12119</v>
      </c>
      <c r="H14" s="10">
        <v>13450</v>
      </c>
      <c r="I14" s="10">
        <v>14309</v>
      </c>
      <c r="J14" s="9">
        <v>51941</v>
      </c>
      <c r="K14" s="11">
        <v>11086</v>
      </c>
      <c r="L14" s="11">
        <v>10707</v>
      </c>
      <c r="M14" s="11">
        <v>11930</v>
      </c>
      <c r="N14" s="11"/>
      <c r="O14" s="9">
        <v>33723</v>
      </c>
      <c r="P14" s="12">
        <v>-0.11301115241635684</v>
      </c>
      <c r="Q14" s="12">
        <v>-0.10387436224489799</v>
      </c>
      <c r="R14" s="13">
        <v>0.1238213782164258</v>
      </c>
    </row>
    <row r="15" spans="1:18" ht="15" customHeight="1" x14ac:dyDescent="0.35">
      <c r="A15" t="s">
        <v>28</v>
      </c>
      <c r="B15" s="9">
        <v>5467</v>
      </c>
      <c r="C15" s="9">
        <v>5501</v>
      </c>
      <c r="D15" s="9">
        <v>5324</v>
      </c>
      <c r="E15" s="9">
        <v>5905</v>
      </c>
      <c r="F15" s="10">
        <v>1681</v>
      </c>
      <c r="G15" s="10">
        <v>1330</v>
      </c>
      <c r="H15" s="10">
        <v>1443</v>
      </c>
      <c r="I15" s="10">
        <v>1095</v>
      </c>
      <c r="J15" s="9">
        <v>5549</v>
      </c>
      <c r="K15" s="11">
        <v>684</v>
      </c>
      <c r="L15" s="11">
        <v>1099</v>
      </c>
      <c r="M15" s="11">
        <v>1399</v>
      </c>
      <c r="N15" s="11"/>
      <c r="O15" s="9">
        <v>3182</v>
      </c>
      <c r="P15" s="12">
        <v>-3.0492030492030531E-2</v>
      </c>
      <c r="Q15" s="12">
        <v>-0.28558599012123931</v>
      </c>
      <c r="R15" s="13">
        <v>1.1683409705087534E-2</v>
      </c>
    </row>
    <row r="16" spans="1:18" ht="15" customHeight="1" x14ac:dyDescent="0.35">
      <c r="A16" t="s">
        <v>49</v>
      </c>
      <c r="B16" s="9">
        <v>3376</v>
      </c>
      <c r="C16" s="9">
        <v>2735</v>
      </c>
      <c r="D16" s="9">
        <v>2690</v>
      </c>
      <c r="E16" s="9">
        <v>2660</v>
      </c>
      <c r="F16" s="10">
        <v>688</v>
      </c>
      <c r="G16" s="10">
        <v>668</v>
      </c>
      <c r="H16" s="10">
        <v>712</v>
      </c>
      <c r="I16" s="10">
        <v>755</v>
      </c>
      <c r="J16" s="9">
        <v>2823</v>
      </c>
      <c r="K16" s="11">
        <v>824</v>
      </c>
      <c r="L16" s="11">
        <v>779</v>
      </c>
      <c r="M16" s="11">
        <v>1050</v>
      </c>
      <c r="N16" s="11"/>
      <c r="O16" s="9">
        <v>2653</v>
      </c>
      <c r="P16" s="12">
        <v>0.47471910112359561</v>
      </c>
      <c r="Q16" s="12">
        <v>0.28288201160541582</v>
      </c>
      <c r="R16" s="13">
        <v>9.7410703795088715E-3</v>
      </c>
    </row>
    <row r="17" spans="1:18" ht="15" customHeight="1" x14ac:dyDescent="0.35">
      <c r="A17" t="s">
        <v>50</v>
      </c>
      <c r="B17" s="9">
        <v>7398</v>
      </c>
      <c r="C17" s="9">
        <v>7598</v>
      </c>
      <c r="D17" s="9">
        <v>7371</v>
      </c>
      <c r="E17" s="9">
        <v>6808</v>
      </c>
      <c r="F17" s="10">
        <v>1793</v>
      </c>
      <c r="G17" s="10">
        <v>1546</v>
      </c>
      <c r="H17" s="10">
        <v>1683</v>
      </c>
      <c r="I17" s="10">
        <v>1858</v>
      </c>
      <c r="J17" s="9">
        <v>6880</v>
      </c>
      <c r="K17" s="11">
        <v>1493</v>
      </c>
      <c r="L17" s="11">
        <v>1334</v>
      </c>
      <c r="M17" s="11">
        <v>1564</v>
      </c>
      <c r="N17" s="11"/>
      <c r="O17" s="9">
        <v>4391</v>
      </c>
      <c r="P17" s="12">
        <v>-7.0707070707070718E-2</v>
      </c>
      <c r="Q17" s="12">
        <v>-0.12564715252887293</v>
      </c>
      <c r="R17" s="13">
        <v>1.6122517917988487E-2</v>
      </c>
    </row>
    <row r="18" spans="1:18" ht="15" customHeight="1" x14ac:dyDescent="0.35">
      <c r="A18" t="s">
        <v>51</v>
      </c>
      <c r="B18" s="9">
        <v>7178</v>
      </c>
      <c r="C18" s="9">
        <v>6761</v>
      </c>
      <c r="D18" s="9">
        <v>6898</v>
      </c>
      <c r="E18" s="9">
        <v>6931</v>
      </c>
      <c r="F18" s="10">
        <v>1786</v>
      </c>
      <c r="G18" s="10">
        <v>1366</v>
      </c>
      <c r="H18" s="10">
        <v>1810</v>
      </c>
      <c r="I18" s="10">
        <v>1713</v>
      </c>
      <c r="J18" s="9">
        <v>6675</v>
      </c>
      <c r="K18" s="11">
        <v>1370</v>
      </c>
      <c r="L18" s="11">
        <v>1250</v>
      </c>
      <c r="M18" s="11">
        <v>1510</v>
      </c>
      <c r="N18" s="11"/>
      <c r="O18" s="9">
        <v>4130</v>
      </c>
      <c r="P18" s="12">
        <v>-0.16574585635359118</v>
      </c>
      <c r="Q18" s="12">
        <v>-0.16767432486900447</v>
      </c>
      <c r="R18" s="13">
        <v>1.5164199271530961E-2</v>
      </c>
    </row>
    <row r="19" spans="1:18" ht="15" customHeight="1" x14ac:dyDescent="0.35">
      <c r="A19" t="s">
        <v>52</v>
      </c>
      <c r="B19" s="9">
        <v>10916</v>
      </c>
      <c r="C19" s="9">
        <v>10507</v>
      </c>
      <c r="D19" s="9">
        <v>11319</v>
      </c>
      <c r="E19" s="9">
        <v>10920</v>
      </c>
      <c r="F19" s="10">
        <v>2819</v>
      </c>
      <c r="G19" s="10">
        <v>2718</v>
      </c>
      <c r="H19" s="10">
        <v>2514</v>
      </c>
      <c r="I19" s="10">
        <v>2885</v>
      </c>
      <c r="J19" s="9">
        <v>10936</v>
      </c>
      <c r="K19" s="11">
        <v>2487</v>
      </c>
      <c r="L19" s="11">
        <v>2340</v>
      </c>
      <c r="M19" s="11">
        <v>2881</v>
      </c>
      <c r="N19" s="11"/>
      <c r="O19" s="9">
        <v>7708</v>
      </c>
      <c r="P19" s="12">
        <v>0.14598249801113772</v>
      </c>
      <c r="Q19" s="12">
        <v>-4.2603403303937415E-2</v>
      </c>
      <c r="R19" s="13">
        <v>2.8301609681588534E-2</v>
      </c>
    </row>
    <row r="20" spans="1:18" ht="15" customHeight="1" x14ac:dyDescent="0.35">
      <c r="A20" t="s">
        <v>53</v>
      </c>
      <c r="B20" s="9">
        <v>3346</v>
      </c>
      <c r="C20" s="9">
        <v>3001</v>
      </c>
      <c r="D20" s="9">
        <v>2906</v>
      </c>
      <c r="E20" s="9">
        <v>3122</v>
      </c>
      <c r="F20" s="10">
        <v>726</v>
      </c>
      <c r="G20" s="10">
        <v>757</v>
      </c>
      <c r="H20" s="10">
        <v>649</v>
      </c>
      <c r="I20" s="10">
        <v>879</v>
      </c>
      <c r="J20" s="9">
        <v>3011</v>
      </c>
      <c r="K20" s="11">
        <v>358</v>
      </c>
      <c r="L20" s="11">
        <v>448</v>
      </c>
      <c r="M20" s="11">
        <v>466</v>
      </c>
      <c r="N20" s="11"/>
      <c r="O20" s="9">
        <v>1272</v>
      </c>
      <c r="P20" s="12">
        <v>-0.28197226502311246</v>
      </c>
      <c r="Q20" s="12">
        <v>-0.40337711069418392</v>
      </c>
      <c r="R20" s="13">
        <v>4.6704265068734582E-3</v>
      </c>
    </row>
    <row r="21" spans="1:18" ht="15" customHeight="1" x14ac:dyDescent="0.35">
      <c r="A21" t="s">
        <v>29</v>
      </c>
      <c r="B21" s="9">
        <v>18354</v>
      </c>
      <c r="C21" s="9">
        <v>18427</v>
      </c>
      <c r="D21" s="9">
        <v>17275</v>
      </c>
      <c r="E21" s="9">
        <v>18034</v>
      </c>
      <c r="F21" s="10">
        <v>4139</v>
      </c>
      <c r="G21" s="10">
        <v>4579</v>
      </c>
      <c r="H21" s="10">
        <v>5026</v>
      </c>
      <c r="I21" s="10">
        <v>5072</v>
      </c>
      <c r="J21" s="9">
        <v>18816</v>
      </c>
      <c r="K21" s="11">
        <v>3516</v>
      </c>
      <c r="L21" s="11">
        <v>4081</v>
      </c>
      <c r="M21" s="11">
        <v>4485</v>
      </c>
      <c r="N21" s="11"/>
      <c r="O21" s="9">
        <v>12082</v>
      </c>
      <c r="P21" s="12">
        <v>-0.10764027059291681</v>
      </c>
      <c r="Q21" s="12">
        <v>-0.12092549476135039</v>
      </c>
      <c r="R21" s="13">
        <v>4.4361708377393963E-2</v>
      </c>
    </row>
    <row r="22" spans="1:18" ht="15" customHeight="1" x14ac:dyDescent="0.35">
      <c r="A22" t="s">
        <v>30</v>
      </c>
      <c r="B22" s="9">
        <v>519</v>
      </c>
      <c r="C22" s="9">
        <v>585</v>
      </c>
      <c r="D22" s="9">
        <v>585</v>
      </c>
      <c r="E22" s="9">
        <v>584</v>
      </c>
      <c r="F22" s="10">
        <v>140</v>
      </c>
      <c r="G22" s="10">
        <v>166</v>
      </c>
      <c r="H22" s="10">
        <v>165</v>
      </c>
      <c r="I22" s="10">
        <v>128</v>
      </c>
      <c r="J22" s="9">
        <v>599</v>
      </c>
      <c r="K22" s="11">
        <v>139</v>
      </c>
      <c r="L22" s="11">
        <v>148</v>
      </c>
      <c r="M22" s="11">
        <v>137</v>
      </c>
      <c r="N22" s="11"/>
      <c r="O22" s="9">
        <v>424</v>
      </c>
      <c r="P22" s="12">
        <v>-0.16969696969696968</v>
      </c>
      <c r="Q22" s="12">
        <v>-9.9787685774946899E-2</v>
      </c>
      <c r="R22" s="13">
        <v>1.5568088356244859E-3</v>
      </c>
    </row>
    <row r="23" spans="1:18" ht="15" customHeight="1" x14ac:dyDescent="0.35">
      <c r="A23" t="s">
        <v>54</v>
      </c>
      <c r="B23" s="9">
        <v>103198</v>
      </c>
      <c r="C23" s="9">
        <v>101310</v>
      </c>
      <c r="D23" s="9">
        <v>100650</v>
      </c>
      <c r="E23" s="9">
        <v>97327</v>
      </c>
      <c r="F23" s="10">
        <v>26179</v>
      </c>
      <c r="G23" s="10">
        <v>21785</v>
      </c>
      <c r="H23" s="10">
        <v>24319</v>
      </c>
      <c r="I23" s="10">
        <v>26260</v>
      </c>
      <c r="J23" s="9">
        <v>98543</v>
      </c>
      <c r="K23" s="11">
        <v>24067</v>
      </c>
      <c r="L23" s="11">
        <v>21858</v>
      </c>
      <c r="M23" s="11">
        <v>24091</v>
      </c>
      <c r="N23" s="11"/>
      <c r="O23" s="9">
        <v>70016</v>
      </c>
      <c r="P23" s="12">
        <v>-9.3753855010485498E-3</v>
      </c>
      <c r="Q23" s="12">
        <v>-3.1362837735013804E-2</v>
      </c>
      <c r="R23" s="13">
        <v>0.25707907413934905</v>
      </c>
    </row>
    <row r="24" spans="1:18" ht="15" customHeight="1" x14ac:dyDescent="0.35">
      <c r="A24" t="s">
        <v>55</v>
      </c>
      <c r="B24" s="9">
        <v>1728</v>
      </c>
      <c r="C24" s="9">
        <v>1576</v>
      </c>
      <c r="D24" s="9">
        <v>1132</v>
      </c>
      <c r="E24" s="9">
        <v>952</v>
      </c>
      <c r="F24" s="10">
        <v>214</v>
      </c>
      <c r="G24" s="10">
        <v>194</v>
      </c>
      <c r="H24" s="10">
        <v>127</v>
      </c>
      <c r="I24" s="10">
        <v>182</v>
      </c>
      <c r="J24" s="9">
        <v>717</v>
      </c>
      <c r="K24" s="11">
        <v>204</v>
      </c>
      <c r="L24" s="11">
        <v>174</v>
      </c>
      <c r="M24" s="11">
        <v>167</v>
      </c>
      <c r="N24" s="11"/>
      <c r="O24" s="9">
        <v>545</v>
      </c>
      <c r="P24" s="12">
        <v>0.31496062992125995</v>
      </c>
      <c r="Q24" s="12">
        <v>1.8691588785046731E-2</v>
      </c>
      <c r="R24" s="13">
        <v>2.0010868288097756E-3</v>
      </c>
    </row>
    <row r="25" spans="1:18" ht="15" customHeight="1" x14ac:dyDescent="0.35">
      <c r="A25" t="s">
        <v>33</v>
      </c>
      <c r="B25" s="9">
        <v>40598</v>
      </c>
      <c r="C25" s="9">
        <v>38141</v>
      </c>
      <c r="D25" s="9">
        <v>37583</v>
      </c>
      <c r="E25" s="9">
        <v>36685</v>
      </c>
      <c r="F25" s="10">
        <v>8803</v>
      </c>
      <c r="G25" s="10">
        <v>8812</v>
      </c>
      <c r="H25" s="10">
        <v>9167</v>
      </c>
      <c r="I25" s="10">
        <v>9672</v>
      </c>
      <c r="J25" s="9">
        <v>36454</v>
      </c>
      <c r="K25" s="11">
        <v>6315</v>
      </c>
      <c r="L25" s="11">
        <v>7597</v>
      </c>
      <c r="M25" s="11">
        <v>7205</v>
      </c>
      <c r="N25" s="11"/>
      <c r="O25" s="9">
        <v>21117</v>
      </c>
      <c r="P25" s="12">
        <v>-0.21402858077888076</v>
      </c>
      <c r="Q25" s="12">
        <v>-0.21152266447614065</v>
      </c>
      <c r="R25" s="13">
        <v>7.7535689108212902E-2</v>
      </c>
    </row>
    <row r="26" spans="1:18" ht="15" customHeight="1" x14ac:dyDescent="0.35">
      <c r="A26" t="s">
        <v>56</v>
      </c>
      <c r="B26" s="9">
        <v>5335</v>
      </c>
      <c r="C26" s="9">
        <v>4513</v>
      </c>
      <c r="D26" s="9">
        <v>4422</v>
      </c>
      <c r="E26" s="9">
        <v>1154</v>
      </c>
      <c r="F26" s="10">
        <v>46</v>
      </c>
      <c r="G26" s="10">
        <v>37</v>
      </c>
      <c r="H26" s="10">
        <v>20</v>
      </c>
      <c r="I26" s="10">
        <v>536</v>
      </c>
      <c r="J26" s="9">
        <v>639</v>
      </c>
      <c r="K26" s="11">
        <v>590</v>
      </c>
      <c r="L26" s="11">
        <v>403</v>
      </c>
      <c r="M26" s="11">
        <v>442</v>
      </c>
      <c r="N26" s="11"/>
      <c r="O26" s="9">
        <v>1435</v>
      </c>
      <c r="P26" s="12">
        <v>21.1</v>
      </c>
      <c r="Q26" s="12">
        <v>12.932038834951456</v>
      </c>
      <c r="R26" s="13">
        <v>5.2689166960404182E-3</v>
      </c>
    </row>
    <row r="27" spans="1:18" ht="15" customHeight="1" x14ac:dyDescent="0.35">
      <c r="A27" t="s">
        <v>57</v>
      </c>
      <c r="B27" s="9">
        <v>1179</v>
      </c>
      <c r="C27" s="9">
        <v>1139</v>
      </c>
      <c r="D27" s="9">
        <v>962</v>
      </c>
      <c r="E27" s="9">
        <v>958</v>
      </c>
      <c r="F27" s="10">
        <v>192</v>
      </c>
      <c r="G27" s="10">
        <v>270</v>
      </c>
      <c r="H27" s="10">
        <v>185</v>
      </c>
      <c r="I27" s="10">
        <v>300</v>
      </c>
      <c r="J27" s="9">
        <v>947</v>
      </c>
      <c r="K27" s="11">
        <v>194</v>
      </c>
      <c r="L27" s="11">
        <v>212</v>
      </c>
      <c r="M27" s="11">
        <v>181</v>
      </c>
      <c r="N27" s="11"/>
      <c r="O27" s="9">
        <v>587</v>
      </c>
      <c r="P27" s="12">
        <v>-2.1621621621621623E-2</v>
      </c>
      <c r="Q27" s="12">
        <v>-9.2735703245749646E-2</v>
      </c>
      <c r="R27" s="13">
        <v>2.1552990247914465E-3</v>
      </c>
    </row>
    <row r="28" spans="1:18" ht="15" customHeight="1" x14ac:dyDescent="0.35">
      <c r="A28" s="15" t="s">
        <v>34</v>
      </c>
      <c r="B28" s="17">
        <v>8840</v>
      </c>
      <c r="C28" s="17">
        <v>8223</v>
      </c>
      <c r="D28" s="17">
        <v>7373</v>
      </c>
      <c r="E28" s="17">
        <v>7022</v>
      </c>
      <c r="F28" s="18">
        <v>1860</v>
      </c>
      <c r="G28" s="18">
        <v>1891</v>
      </c>
      <c r="H28" s="18">
        <v>1818</v>
      </c>
      <c r="I28" s="18">
        <v>2308</v>
      </c>
      <c r="J28" s="17">
        <v>7877</v>
      </c>
      <c r="K28" s="19">
        <v>1656</v>
      </c>
      <c r="L28" s="19">
        <v>1814</v>
      </c>
      <c r="M28" s="19">
        <v>1693</v>
      </c>
      <c r="N28" s="19"/>
      <c r="O28" s="17">
        <v>5163</v>
      </c>
      <c r="P28" s="20">
        <v>-6.8756875687568719E-2</v>
      </c>
      <c r="Q28" s="20">
        <v>-7.2903573352486983E-2</v>
      </c>
      <c r="R28" s="21">
        <v>1.8957084948889671E-2</v>
      </c>
    </row>
    <row r="29" spans="1:18" ht="15" customHeight="1" x14ac:dyDescent="0.35">
      <c r="A29" t="s">
        <v>35</v>
      </c>
      <c r="B29" s="9">
        <f>SUBTOTAL(109,Tabell_Storb[2020])</f>
        <v>420198</v>
      </c>
      <c r="C29" s="9">
        <f>SUBTOTAL(109,Tabell_Storb[2021])</f>
        <v>399962</v>
      </c>
      <c r="D29" s="9">
        <f>SUBTOTAL(109,Tabell_Storb[2022])</f>
        <v>400216</v>
      </c>
      <c r="E29" s="9">
        <f>SUBTOTAL(109,Tabell_Storb[2023])</f>
        <v>409803</v>
      </c>
      <c r="F29" s="9">
        <f>SUBTOTAL(109,Tabell_Storb[Kvartal 1 2024])</f>
        <v>102801</v>
      </c>
      <c r="G29" s="9">
        <f>SUBTOTAL(109,Tabell_Storb[Kvartal 2 2024])</f>
        <v>95480</v>
      </c>
      <c r="H29" s="9">
        <f>SUBTOTAL(109,Tabell_Storb[Kvartal 3 2024])</f>
        <v>104388</v>
      </c>
      <c r="I29" s="9">
        <f>SUBTOTAL(109,Tabell_Storb[Kvartal 4 2024])</f>
        <v>111590</v>
      </c>
      <c r="J29" s="9">
        <f>SUBTOTAL(109,Tabell_Storb[2024])</f>
        <v>414259</v>
      </c>
      <c r="K29" s="9">
        <f>SUBTOTAL(109,Tabell_Storb[Kvartal 1 2025])</f>
        <v>88982</v>
      </c>
      <c r="L29" s="9">
        <f>SUBTOTAL(109,Tabell_Storb[Kvartal 2 2025])</f>
        <v>86620</v>
      </c>
      <c r="M29" s="9">
        <f>SUBTOTAL(109,Tabell_Storb[Kvartal 3 2025])</f>
        <v>96750</v>
      </c>
      <c r="N29" s="9">
        <f>SUBTOTAL(109,Tabell_Storb[Kvartal 4 2025])</f>
        <v>0</v>
      </c>
      <c r="O29" s="9">
        <f>SUBTOTAL(109,Tabell_Storb[2025])</f>
        <v>272352</v>
      </c>
      <c r="P29" s="16">
        <f>M29/H29-1</f>
        <v>-7.3169329808023931E-2</v>
      </c>
      <c r="Q29" s="16">
        <f>O29/SUM(F29:H29)-1</f>
        <v>-0.10016552735826922</v>
      </c>
      <c r="R29" s="13">
        <f>SUBTOTAL(109,Tabell_Storb[Procentuell andel 2025*])</f>
        <v>1</v>
      </c>
    </row>
    <row r="30" spans="1:18" ht="15" customHeight="1" x14ac:dyDescent="0.35">
      <c r="A30" t="s">
        <v>58</v>
      </c>
    </row>
    <row r="31" spans="1:18" ht="15" customHeight="1" x14ac:dyDescent="0.35">
      <c r="A31" t="s">
        <v>37</v>
      </c>
    </row>
    <row r="32" spans="1:18" ht="15" customHeight="1" x14ac:dyDescent="0.35">
      <c r="A32" t="s">
        <v>59</v>
      </c>
    </row>
    <row r="33" spans="1:1" ht="15" customHeight="1" x14ac:dyDescent="0.35">
      <c r="A33" t="s">
        <v>39</v>
      </c>
    </row>
    <row r="34" spans="1:1" ht="15" customHeight="1" x14ac:dyDescent="0.35"/>
    <row r="35" spans="1:1" ht="15" customHeight="1" x14ac:dyDescent="0.35"/>
    <row r="36" spans="1:1" ht="15" customHeight="1" x14ac:dyDescent="0.35"/>
    <row r="37" spans="1:1" ht="15" customHeight="1" x14ac:dyDescent="0.35"/>
    <row r="38" spans="1:1" ht="15" customHeight="1" x14ac:dyDescent="0.35"/>
    <row r="39" spans="1:1" ht="15" customHeight="1" x14ac:dyDescent="0.35"/>
    <row r="40" spans="1:1" ht="15" customHeight="1" x14ac:dyDescent="0.35"/>
    <row r="41" spans="1:1" ht="15" customHeight="1" x14ac:dyDescent="0.35"/>
    <row r="42" spans="1:1" ht="15" customHeight="1" x14ac:dyDescent="0.35"/>
    <row r="43" spans="1:1" ht="15" customHeight="1" x14ac:dyDescent="0.35"/>
    <row r="44" spans="1:1" ht="15" customHeight="1" x14ac:dyDescent="0.35"/>
    <row r="45" spans="1:1" ht="15" customHeight="1" x14ac:dyDescent="0.35"/>
    <row r="46" spans="1:1" ht="15" customHeight="1" x14ac:dyDescent="0.35"/>
    <row r="47" spans="1:1" ht="15" customHeight="1" x14ac:dyDescent="0.35"/>
    <row r="48" spans="1:1" ht="15" customHeight="1" x14ac:dyDescent="0.35"/>
    <row r="49" ht="15" customHeight="1" x14ac:dyDescent="0.35"/>
    <row r="50" ht="15" customHeight="1" x14ac:dyDescent="0.35"/>
    <row r="51" ht="15" customHeight="1" x14ac:dyDescent="0.35"/>
    <row r="52" ht="15" customHeight="1" x14ac:dyDescent="0.35"/>
    <row r="53" ht="15" customHeight="1" x14ac:dyDescent="0.35"/>
    <row r="54" ht="15" customHeight="1" x14ac:dyDescent="0.35"/>
    <row r="55" ht="15" customHeight="1" x14ac:dyDescent="0.35"/>
    <row r="56" ht="15" customHeight="1" x14ac:dyDescent="0.35"/>
    <row r="57" ht="15" customHeight="1" x14ac:dyDescent="0.35"/>
    <row r="58" ht="15" customHeight="1" x14ac:dyDescent="0.35"/>
    <row r="59" ht="15" customHeight="1" x14ac:dyDescent="0.35"/>
    <row r="60" ht="15" customHeight="1" x14ac:dyDescent="0.35"/>
    <row r="61" ht="15" customHeight="1" x14ac:dyDescent="0.35"/>
    <row r="62" ht="15" customHeight="1" x14ac:dyDescent="0.35"/>
    <row r="63" ht="15" customHeight="1" x14ac:dyDescent="0.35"/>
    <row r="64" ht="15" customHeight="1" x14ac:dyDescent="0.35"/>
    <row r="65" ht="15" customHeight="1" x14ac:dyDescent="0.35"/>
    <row r="66" ht="15" customHeight="1" x14ac:dyDescent="0.35"/>
    <row r="67" ht="15" customHeight="1" x14ac:dyDescent="0.35"/>
    <row r="68" ht="15" customHeight="1" x14ac:dyDescent="0.35"/>
    <row r="69" ht="15" customHeight="1" x14ac:dyDescent="0.35"/>
    <row r="70" ht="15" customHeight="1" x14ac:dyDescent="0.35"/>
    <row r="71" ht="15" customHeight="1" x14ac:dyDescent="0.35"/>
    <row r="72" ht="15" customHeight="1" x14ac:dyDescent="0.35"/>
    <row r="73" ht="15" customHeight="1" x14ac:dyDescent="0.35"/>
    <row r="74" ht="15" customHeight="1" x14ac:dyDescent="0.35"/>
    <row r="75" ht="15" customHeight="1" x14ac:dyDescent="0.35"/>
    <row r="76" ht="15" customHeight="1" x14ac:dyDescent="0.35"/>
    <row r="77" ht="15" customHeight="1" x14ac:dyDescent="0.35"/>
    <row r="78" ht="15" customHeight="1" x14ac:dyDescent="0.35"/>
    <row r="79" ht="15" customHeight="1" x14ac:dyDescent="0.35"/>
  </sheetData>
  <pageMargins left="0.70866141732283472" right="0.31496062992125984" top="0.55118110236220474" bottom="0.74803149606299213" header="0.31496062992125984" footer="0.31496062992125984"/>
  <pageSetup paperSize="9" scale="78" fitToHeight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027BF-C397-4052-BB96-9F904F206C50}">
  <sheetPr codeName="flKalv">
    <pageSetUpPr fitToPage="1"/>
  </sheetPr>
  <dimension ref="A1:W69"/>
  <sheetViews>
    <sheetView workbookViewId="0">
      <selection activeCell="A2" sqref="A2"/>
    </sheetView>
  </sheetViews>
  <sheetFormatPr defaultColWidth="9.1796875" defaultRowHeight="14.5" x14ac:dyDescent="0.35"/>
  <cols>
    <col min="1" max="1" width="27" customWidth="1"/>
    <col min="2" max="15" width="8.26953125" customWidth="1"/>
    <col min="16" max="16" width="9.26953125" customWidth="1"/>
    <col min="17" max="17" width="10.1796875" customWidth="1"/>
    <col min="18" max="18" width="10" customWidth="1"/>
  </cols>
  <sheetData>
    <row r="1" spans="1:23" ht="92.25" customHeight="1" x14ac:dyDescent="0.35">
      <c r="A1" s="1" t="s">
        <v>60</v>
      </c>
      <c r="C1" s="1"/>
      <c r="J1" s="1"/>
      <c r="R1" s="2"/>
    </row>
    <row r="2" spans="1:23" ht="45" customHeight="1" x14ac:dyDescent="0.3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4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4" t="s">
        <v>15</v>
      </c>
      <c r="P2" s="6" t="s">
        <v>16</v>
      </c>
      <c r="Q2" s="6" t="s">
        <v>17</v>
      </c>
      <c r="R2" s="7" t="s">
        <v>18</v>
      </c>
    </row>
    <row r="3" spans="1:23" ht="15" customHeight="1" x14ac:dyDescent="0.35">
      <c r="A3" t="s">
        <v>41</v>
      </c>
      <c r="B3" s="9">
        <v>109</v>
      </c>
      <c r="C3" s="9">
        <v>102</v>
      </c>
      <c r="D3" s="9">
        <v>105</v>
      </c>
      <c r="E3" s="9">
        <v>117</v>
      </c>
      <c r="F3" s="10">
        <v>32</v>
      </c>
      <c r="G3" s="10">
        <v>26</v>
      </c>
      <c r="H3" s="10">
        <v>28</v>
      </c>
      <c r="I3" s="10">
        <v>25</v>
      </c>
      <c r="J3" s="9">
        <v>111</v>
      </c>
      <c r="K3" s="11">
        <v>19</v>
      </c>
      <c r="L3" s="11">
        <v>20</v>
      </c>
      <c r="M3" s="11">
        <v>22</v>
      </c>
      <c r="N3" s="11"/>
      <c r="O3" s="9">
        <v>61</v>
      </c>
      <c r="P3" s="16">
        <v>-0.2142857142857143</v>
      </c>
      <c r="Q3" s="12">
        <v>-0.29069767441860461</v>
      </c>
      <c r="R3" s="13">
        <v>1.096136567834681E-2</v>
      </c>
      <c r="U3" s="22" t="s">
        <v>61</v>
      </c>
    </row>
    <row r="4" spans="1:23" ht="15" customHeight="1" x14ac:dyDescent="0.35">
      <c r="A4" t="s">
        <v>62</v>
      </c>
      <c r="B4" s="9">
        <v>19</v>
      </c>
      <c r="C4" s="9">
        <v>62</v>
      </c>
      <c r="D4" s="9">
        <v>58</v>
      </c>
      <c r="E4" s="9">
        <v>59</v>
      </c>
      <c r="F4" s="10">
        <v>20</v>
      </c>
      <c r="G4" s="10">
        <v>14</v>
      </c>
      <c r="H4" s="10">
        <v>13</v>
      </c>
      <c r="I4" s="10">
        <v>14</v>
      </c>
      <c r="J4" s="9">
        <v>61</v>
      </c>
      <c r="K4" s="11">
        <v>17</v>
      </c>
      <c r="L4" s="11">
        <v>13</v>
      </c>
      <c r="M4" s="11">
        <v>14</v>
      </c>
      <c r="N4" s="11"/>
      <c r="O4" s="9">
        <v>44</v>
      </c>
      <c r="P4" s="16">
        <v>7.6923076923076872E-2</v>
      </c>
      <c r="Q4" s="12">
        <v>-6.3829787234042534E-2</v>
      </c>
      <c r="R4" s="13">
        <v>7.9065588499550761E-3</v>
      </c>
    </row>
    <row r="5" spans="1:23" ht="15" customHeight="1" x14ac:dyDescent="0.35">
      <c r="A5" t="s">
        <v>63</v>
      </c>
      <c r="B5" s="9">
        <v>82</v>
      </c>
      <c r="C5" s="9">
        <v>100</v>
      </c>
      <c r="D5" s="9">
        <v>130</v>
      </c>
      <c r="E5" s="9">
        <v>135</v>
      </c>
      <c r="F5" s="10">
        <v>32</v>
      </c>
      <c r="G5" s="10">
        <v>31</v>
      </c>
      <c r="H5" s="10">
        <v>20</v>
      </c>
      <c r="I5" s="10">
        <v>36</v>
      </c>
      <c r="J5" s="9">
        <v>119</v>
      </c>
      <c r="K5" s="11">
        <v>33</v>
      </c>
      <c r="L5" s="11">
        <v>50</v>
      </c>
      <c r="M5" s="11">
        <v>38</v>
      </c>
      <c r="N5" s="11"/>
      <c r="O5" s="9">
        <v>121</v>
      </c>
      <c r="P5" s="16">
        <v>0.89999999999999991</v>
      </c>
      <c r="Q5" s="12">
        <v>0.45783132530120474</v>
      </c>
      <c r="R5" s="13">
        <v>2.174303683737646E-2</v>
      </c>
    </row>
    <row r="6" spans="1:23" ht="15" customHeight="1" x14ac:dyDescent="0.35">
      <c r="A6" t="s">
        <v>22</v>
      </c>
      <c r="B6" s="9">
        <v>280</v>
      </c>
      <c r="C6" s="9">
        <v>245</v>
      </c>
      <c r="D6" s="9">
        <v>230</v>
      </c>
      <c r="E6" s="9">
        <v>209</v>
      </c>
      <c r="F6" s="10">
        <v>56</v>
      </c>
      <c r="G6" s="10">
        <v>58</v>
      </c>
      <c r="H6" s="10">
        <v>93</v>
      </c>
      <c r="I6" s="10">
        <v>112</v>
      </c>
      <c r="J6" s="9">
        <v>319</v>
      </c>
      <c r="K6" s="11">
        <v>57</v>
      </c>
      <c r="L6" s="11">
        <v>39</v>
      </c>
      <c r="M6" s="11">
        <v>30</v>
      </c>
      <c r="N6" s="11"/>
      <c r="O6" s="9">
        <v>126</v>
      </c>
      <c r="P6" s="16">
        <v>-0.67741935483870974</v>
      </c>
      <c r="Q6" s="12">
        <v>-0.39130434782608692</v>
      </c>
      <c r="R6" s="13">
        <v>2.2641509433962263E-2</v>
      </c>
      <c r="W6" s="22" t="s">
        <v>64</v>
      </c>
    </row>
    <row r="7" spans="1:23" ht="15" customHeight="1" x14ac:dyDescent="0.35">
      <c r="A7" t="s">
        <v>44</v>
      </c>
      <c r="B7" s="9">
        <v>294</v>
      </c>
      <c r="C7" s="9">
        <v>319</v>
      </c>
      <c r="D7" s="9">
        <v>328</v>
      </c>
      <c r="E7" s="9">
        <v>401</v>
      </c>
      <c r="F7" s="10">
        <v>114</v>
      </c>
      <c r="G7" s="10">
        <v>57</v>
      </c>
      <c r="H7" s="10">
        <v>66</v>
      </c>
      <c r="I7" s="10">
        <v>139</v>
      </c>
      <c r="J7" s="9">
        <v>376</v>
      </c>
      <c r="K7" s="11">
        <v>125</v>
      </c>
      <c r="L7" s="11">
        <v>146</v>
      </c>
      <c r="M7" s="11">
        <v>137</v>
      </c>
      <c r="N7" s="11"/>
      <c r="O7" s="9">
        <v>408</v>
      </c>
      <c r="P7" s="16">
        <v>1.0757575757575757</v>
      </c>
      <c r="Q7" s="12">
        <v>0.72151898734177222</v>
      </c>
      <c r="R7" s="13">
        <v>7.3315363881401613E-2</v>
      </c>
    </row>
    <row r="8" spans="1:23" ht="15" customHeight="1" x14ac:dyDescent="0.35">
      <c r="A8" t="s">
        <v>45</v>
      </c>
      <c r="B8" s="9">
        <v>247</v>
      </c>
      <c r="C8" s="9">
        <v>169</v>
      </c>
      <c r="D8" s="9">
        <v>95</v>
      </c>
      <c r="E8" s="9">
        <v>512</v>
      </c>
      <c r="F8" s="10">
        <v>427</v>
      </c>
      <c r="G8" s="10">
        <v>339</v>
      </c>
      <c r="H8" s="10">
        <v>42</v>
      </c>
      <c r="I8" s="10">
        <v>485</v>
      </c>
      <c r="J8" s="9">
        <v>1293</v>
      </c>
      <c r="K8" s="11">
        <v>960</v>
      </c>
      <c r="L8" s="11">
        <v>970</v>
      </c>
      <c r="M8" s="11">
        <v>665</v>
      </c>
      <c r="N8" s="11"/>
      <c r="O8" s="9">
        <v>2595</v>
      </c>
      <c r="P8" s="16">
        <v>14.833333333333334</v>
      </c>
      <c r="Q8" s="12">
        <v>2.2116336633663365</v>
      </c>
      <c r="R8" s="13">
        <v>0.46630727762803237</v>
      </c>
    </row>
    <row r="9" spans="1:23" ht="15" customHeight="1" x14ac:dyDescent="0.35">
      <c r="A9" t="s">
        <v>46</v>
      </c>
      <c r="B9" s="9">
        <v>598</v>
      </c>
      <c r="C9" s="9">
        <v>559</v>
      </c>
      <c r="D9" s="9">
        <v>638</v>
      </c>
      <c r="E9" s="9">
        <v>610</v>
      </c>
      <c r="F9" s="10">
        <v>197</v>
      </c>
      <c r="G9" s="10">
        <v>205</v>
      </c>
      <c r="H9" s="10">
        <v>154</v>
      </c>
      <c r="I9" s="10">
        <v>148</v>
      </c>
      <c r="J9" s="9">
        <v>704</v>
      </c>
      <c r="K9" s="11">
        <v>207</v>
      </c>
      <c r="L9" s="11">
        <v>180</v>
      </c>
      <c r="M9" s="11">
        <v>162</v>
      </c>
      <c r="N9" s="11"/>
      <c r="O9" s="9">
        <v>549</v>
      </c>
      <c r="P9" s="16">
        <v>5.1948051948051965E-2</v>
      </c>
      <c r="Q9" s="12">
        <v>-1.258992805755399E-2</v>
      </c>
      <c r="R9" s="13">
        <v>9.865229110512129E-2</v>
      </c>
    </row>
    <row r="10" spans="1:23" ht="15" customHeight="1" x14ac:dyDescent="0.35">
      <c r="A10" t="s">
        <v>23</v>
      </c>
      <c r="B10" s="9">
        <v>34</v>
      </c>
      <c r="C10" s="9">
        <v>28</v>
      </c>
      <c r="D10" s="9">
        <v>31</v>
      </c>
      <c r="E10" s="9">
        <v>15</v>
      </c>
      <c r="F10" s="10">
        <v>11</v>
      </c>
      <c r="G10" s="10">
        <v>11</v>
      </c>
      <c r="H10" s="10">
        <v>5</v>
      </c>
      <c r="I10" s="10">
        <v>17</v>
      </c>
      <c r="J10" s="9">
        <v>44</v>
      </c>
      <c r="K10" s="11">
        <v>8</v>
      </c>
      <c r="L10" s="11">
        <v>6</v>
      </c>
      <c r="M10" s="11">
        <v>6</v>
      </c>
      <c r="N10" s="11"/>
      <c r="O10" s="9">
        <v>20</v>
      </c>
      <c r="P10" s="16">
        <v>0.19999999999999996</v>
      </c>
      <c r="Q10" s="12">
        <v>-0.2592592592592593</v>
      </c>
      <c r="R10" s="13">
        <v>3.5938903863432167E-3</v>
      </c>
    </row>
    <row r="11" spans="1:23" ht="15" customHeight="1" x14ac:dyDescent="0.35">
      <c r="A11" t="s">
        <v>47</v>
      </c>
      <c r="B11" s="9">
        <v>61</v>
      </c>
      <c r="C11" s="9">
        <v>43</v>
      </c>
      <c r="D11" s="9">
        <v>12</v>
      </c>
      <c r="E11" s="9">
        <v>86</v>
      </c>
      <c r="F11" s="10">
        <v>23</v>
      </c>
      <c r="G11" s="10">
        <v>10</v>
      </c>
      <c r="H11" s="10">
        <v>8</v>
      </c>
      <c r="I11" s="10">
        <v>29</v>
      </c>
      <c r="J11" s="9">
        <v>70</v>
      </c>
      <c r="K11" s="11">
        <v>28</v>
      </c>
      <c r="L11" s="11">
        <v>5</v>
      </c>
      <c r="M11" s="11">
        <v>4</v>
      </c>
      <c r="N11" s="11"/>
      <c r="O11" s="9">
        <v>37</v>
      </c>
      <c r="P11" s="16">
        <v>-0.5</v>
      </c>
      <c r="Q11" s="12">
        <v>-9.7560975609756073E-2</v>
      </c>
      <c r="R11" s="13">
        <v>6.6486972147349506E-3</v>
      </c>
    </row>
    <row r="12" spans="1:23" ht="15" customHeight="1" x14ac:dyDescent="0.35">
      <c r="A12" t="s">
        <v>24</v>
      </c>
      <c r="B12" s="9">
        <v>844</v>
      </c>
      <c r="C12" s="9">
        <v>110</v>
      </c>
      <c r="D12" s="9">
        <v>103</v>
      </c>
      <c r="E12" s="9">
        <v>80</v>
      </c>
      <c r="F12" s="10">
        <v>4</v>
      </c>
      <c r="G12" s="10">
        <v>12</v>
      </c>
      <c r="H12" s="10">
        <v>11</v>
      </c>
      <c r="I12" s="10">
        <v>32</v>
      </c>
      <c r="J12" s="9">
        <v>59</v>
      </c>
      <c r="K12" s="11">
        <v>13</v>
      </c>
      <c r="L12" s="11">
        <v>26</v>
      </c>
      <c r="M12" s="11">
        <v>25</v>
      </c>
      <c r="N12" s="11"/>
      <c r="O12" s="9">
        <v>64</v>
      </c>
      <c r="P12" s="16">
        <v>1.2727272727272729</v>
      </c>
      <c r="Q12" s="12">
        <v>1.3703703703703702</v>
      </c>
      <c r="R12" s="13">
        <v>1.1500449236298293E-2</v>
      </c>
    </row>
    <row r="13" spans="1:23" ht="15" customHeight="1" x14ac:dyDescent="0.35">
      <c r="A13" t="s">
        <v>48</v>
      </c>
      <c r="B13" s="9">
        <v>1481</v>
      </c>
      <c r="C13" s="9">
        <v>241</v>
      </c>
      <c r="D13" s="9">
        <v>386</v>
      </c>
      <c r="E13" s="9">
        <v>1182</v>
      </c>
      <c r="F13" s="10">
        <v>355</v>
      </c>
      <c r="G13" s="10">
        <v>325</v>
      </c>
      <c r="H13" s="10">
        <v>202</v>
      </c>
      <c r="I13" s="10">
        <v>87</v>
      </c>
      <c r="J13" s="9">
        <v>969</v>
      </c>
      <c r="K13" s="11">
        <v>93</v>
      </c>
      <c r="L13" s="11">
        <v>58</v>
      </c>
      <c r="M13" s="11">
        <v>5</v>
      </c>
      <c r="N13" s="11"/>
      <c r="O13" s="9">
        <v>156</v>
      </c>
      <c r="P13" s="16">
        <v>-0.97524752475247523</v>
      </c>
      <c r="Q13" s="12">
        <v>-0.8231292517006803</v>
      </c>
      <c r="R13" s="13">
        <v>2.8032345013477088E-2</v>
      </c>
    </row>
    <row r="14" spans="1:23" ht="15" customHeight="1" x14ac:dyDescent="0.35">
      <c r="A14" t="s">
        <v>50</v>
      </c>
      <c r="B14" s="9">
        <v>64</v>
      </c>
      <c r="C14" s="9">
        <v>73</v>
      </c>
      <c r="D14" s="9">
        <v>72</v>
      </c>
      <c r="E14" s="9">
        <v>111</v>
      </c>
      <c r="F14" s="10">
        <v>60</v>
      </c>
      <c r="G14" s="10">
        <v>27</v>
      </c>
      <c r="H14" s="10">
        <v>11</v>
      </c>
      <c r="I14" s="10">
        <v>19</v>
      </c>
      <c r="J14" s="9">
        <v>117</v>
      </c>
      <c r="K14" s="11">
        <v>6</v>
      </c>
      <c r="L14" s="11">
        <v>10</v>
      </c>
      <c r="M14" s="11">
        <v>14</v>
      </c>
      <c r="N14" s="11"/>
      <c r="O14" s="9">
        <v>30</v>
      </c>
      <c r="P14" s="16">
        <v>0.27272727272727271</v>
      </c>
      <c r="Q14" s="12">
        <v>-0.69387755102040816</v>
      </c>
      <c r="R14" s="13">
        <v>5.3908355795148251E-3</v>
      </c>
    </row>
    <row r="15" spans="1:23" ht="15" customHeight="1" x14ac:dyDescent="0.35">
      <c r="A15" t="s">
        <v>51</v>
      </c>
      <c r="B15" s="9">
        <v>92</v>
      </c>
      <c r="C15" s="9">
        <v>74</v>
      </c>
      <c r="D15" s="9">
        <v>163</v>
      </c>
      <c r="E15" s="9">
        <v>246</v>
      </c>
      <c r="F15" s="10">
        <v>56</v>
      </c>
      <c r="G15" s="10">
        <v>42</v>
      </c>
      <c r="H15" s="10">
        <v>9</v>
      </c>
      <c r="I15" s="10">
        <v>31</v>
      </c>
      <c r="J15" s="9">
        <v>138</v>
      </c>
      <c r="K15" s="11">
        <v>21</v>
      </c>
      <c r="L15" s="11">
        <v>12</v>
      </c>
      <c r="M15" s="11">
        <v>2</v>
      </c>
      <c r="N15" s="11"/>
      <c r="O15" s="9">
        <v>35</v>
      </c>
      <c r="P15" s="16">
        <v>-0.77777777777777779</v>
      </c>
      <c r="Q15" s="12">
        <v>-0.67289719626168232</v>
      </c>
      <c r="R15" s="13">
        <v>6.2893081761006293E-3</v>
      </c>
    </row>
    <row r="16" spans="1:23" ht="15" customHeight="1" x14ac:dyDescent="0.35">
      <c r="A16" t="s">
        <v>52</v>
      </c>
      <c r="B16" s="9">
        <v>580</v>
      </c>
      <c r="C16" s="9">
        <v>589</v>
      </c>
      <c r="D16" s="9">
        <v>509</v>
      </c>
      <c r="E16" s="9">
        <v>593</v>
      </c>
      <c r="F16" s="10">
        <v>184</v>
      </c>
      <c r="G16" s="10">
        <v>112</v>
      </c>
      <c r="H16" s="10">
        <v>83</v>
      </c>
      <c r="I16" s="10">
        <v>204</v>
      </c>
      <c r="J16" s="9">
        <v>583</v>
      </c>
      <c r="K16" s="11">
        <v>150</v>
      </c>
      <c r="L16" s="11">
        <v>106</v>
      </c>
      <c r="M16" s="11">
        <v>82</v>
      </c>
      <c r="N16" s="11"/>
      <c r="O16" s="9">
        <v>338</v>
      </c>
      <c r="P16" s="16">
        <v>-1.2048192771084376E-2</v>
      </c>
      <c r="Q16" s="12">
        <v>-0.10817941952506593</v>
      </c>
      <c r="R16" s="13">
        <v>6.0736747529200358E-2</v>
      </c>
    </row>
    <row r="17" spans="1:18" ht="15" customHeight="1" x14ac:dyDescent="0.35">
      <c r="A17" t="s">
        <v>30</v>
      </c>
      <c r="B17" s="9">
        <v>48</v>
      </c>
      <c r="C17" s="9">
        <v>32</v>
      </c>
      <c r="D17" s="9">
        <v>23</v>
      </c>
      <c r="E17" s="9">
        <v>38</v>
      </c>
      <c r="F17" s="10">
        <v>8</v>
      </c>
      <c r="G17" s="10">
        <v>8</v>
      </c>
      <c r="H17" s="10">
        <v>3</v>
      </c>
      <c r="I17" s="10">
        <v>5</v>
      </c>
      <c r="J17" s="9">
        <v>24</v>
      </c>
      <c r="K17" s="11">
        <v>2</v>
      </c>
      <c r="L17" s="11">
        <v>14</v>
      </c>
      <c r="M17" s="11">
        <v>8</v>
      </c>
      <c r="N17" s="11"/>
      <c r="O17" s="9">
        <v>24</v>
      </c>
      <c r="P17" s="16">
        <v>1.6666666666666665</v>
      </c>
      <c r="Q17" s="12">
        <v>0.26315789473684204</v>
      </c>
      <c r="R17" s="13">
        <v>4.3126684636118602E-3</v>
      </c>
    </row>
    <row r="18" spans="1:18" ht="15" customHeight="1" x14ac:dyDescent="0.35">
      <c r="A18" t="s">
        <v>31</v>
      </c>
      <c r="B18" s="9">
        <v>43</v>
      </c>
      <c r="C18" s="9">
        <v>17</v>
      </c>
      <c r="D18" s="9">
        <v>42</v>
      </c>
      <c r="E18" s="9">
        <v>90</v>
      </c>
      <c r="F18" s="10">
        <v>24</v>
      </c>
      <c r="G18" s="10">
        <v>11</v>
      </c>
      <c r="H18" s="10">
        <v>12</v>
      </c>
      <c r="I18" s="10">
        <v>24</v>
      </c>
      <c r="J18" s="9">
        <v>71</v>
      </c>
      <c r="K18" s="11">
        <v>10</v>
      </c>
      <c r="L18" s="11">
        <v>8</v>
      </c>
      <c r="M18" s="11">
        <v>7</v>
      </c>
      <c r="N18" s="11"/>
      <c r="O18" s="9">
        <v>25</v>
      </c>
      <c r="P18" s="16">
        <v>-0.41666666666666663</v>
      </c>
      <c r="Q18" s="12">
        <v>-0.46808510638297873</v>
      </c>
      <c r="R18" s="13">
        <v>4.4923629829290209E-3</v>
      </c>
    </row>
    <row r="19" spans="1:18" ht="15" customHeight="1" x14ac:dyDescent="0.35">
      <c r="A19" t="s">
        <v>54</v>
      </c>
      <c r="B19" s="9">
        <v>5351</v>
      </c>
      <c r="C19" s="9">
        <v>5830</v>
      </c>
      <c r="D19" s="9">
        <v>6103</v>
      </c>
      <c r="E19" s="9">
        <v>5472</v>
      </c>
      <c r="F19" s="10">
        <v>985</v>
      </c>
      <c r="G19" s="10">
        <v>1062</v>
      </c>
      <c r="H19" s="10">
        <v>1351</v>
      </c>
      <c r="I19" s="10">
        <v>503</v>
      </c>
      <c r="J19" s="9">
        <v>3901</v>
      </c>
      <c r="K19" s="11">
        <v>2</v>
      </c>
      <c r="L19" s="11">
        <v>10</v>
      </c>
      <c r="M19" s="11">
        <v>1</v>
      </c>
      <c r="N19" s="11"/>
      <c r="O19" s="9">
        <v>13</v>
      </c>
      <c r="P19" s="16">
        <v>-0.99925980754996302</v>
      </c>
      <c r="Q19" s="12">
        <v>-0.99617422012948798</v>
      </c>
      <c r="R19" s="13">
        <v>2.3360287511230908E-3</v>
      </c>
    </row>
    <row r="20" spans="1:18" ht="15" customHeight="1" x14ac:dyDescent="0.35">
      <c r="A20" t="s">
        <v>33</v>
      </c>
      <c r="B20" s="9">
        <v>1806</v>
      </c>
      <c r="C20" s="9">
        <v>1877</v>
      </c>
      <c r="D20" s="9">
        <v>1312</v>
      </c>
      <c r="E20" s="9">
        <v>101</v>
      </c>
      <c r="F20" s="10">
        <v>9</v>
      </c>
      <c r="G20" s="10">
        <v>21</v>
      </c>
      <c r="H20" s="10">
        <v>58</v>
      </c>
      <c r="I20" s="10">
        <v>214</v>
      </c>
      <c r="J20" s="9">
        <v>302</v>
      </c>
      <c r="K20" s="11">
        <v>193</v>
      </c>
      <c r="L20" s="11">
        <v>201</v>
      </c>
      <c r="M20" s="11">
        <v>190</v>
      </c>
      <c r="N20" s="11"/>
      <c r="O20" s="9">
        <v>584</v>
      </c>
      <c r="P20" s="16">
        <v>2.2758620689655173</v>
      </c>
      <c r="Q20" s="12">
        <v>5.6363636363636367</v>
      </c>
      <c r="R20" s="13">
        <v>0.10494159928122192</v>
      </c>
    </row>
    <row r="21" spans="1:18" ht="15" customHeight="1" x14ac:dyDescent="0.35">
      <c r="A21" t="s">
        <v>65</v>
      </c>
      <c r="B21" s="9">
        <v>14</v>
      </c>
      <c r="C21" s="9">
        <v>3</v>
      </c>
      <c r="D21" s="9">
        <v>7</v>
      </c>
      <c r="E21" s="9">
        <v>62</v>
      </c>
      <c r="F21" s="10">
        <v>10</v>
      </c>
      <c r="G21" s="10">
        <v>3</v>
      </c>
      <c r="H21" s="10">
        <v>9</v>
      </c>
      <c r="I21" s="10">
        <v>5</v>
      </c>
      <c r="J21" s="9">
        <v>27</v>
      </c>
      <c r="K21" s="11">
        <v>6</v>
      </c>
      <c r="L21" s="11"/>
      <c r="M21" s="11">
        <v>11</v>
      </c>
      <c r="N21" s="11"/>
      <c r="O21" s="9">
        <v>17</v>
      </c>
      <c r="P21" s="16">
        <v>0.22222222222222232</v>
      </c>
      <c r="Q21" s="12">
        <v>-0.22727272727272729</v>
      </c>
      <c r="R21" s="13">
        <v>3.0548068283917339E-3</v>
      </c>
    </row>
    <row r="22" spans="1:18" ht="15" customHeight="1" x14ac:dyDescent="0.35">
      <c r="A22" t="s">
        <v>57</v>
      </c>
      <c r="B22" s="9">
        <v>98</v>
      </c>
      <c r="C22" s="9">
        <v>92</v>
      </c>
      <c r="D22" s="9">
        <v>102</v>
      </c>
      <c r="E22" s="9">
        <v>69</v>
      </c>
      <c r="F22" s="10">
        <v>19</v>
      </c>
      <c r="G22" s="10">
        <v>6</v>
      </c>
      <c r="H22" s="10">
        <v>14</v>
      </c>
      <c r="I22" s="10">
        <v>58</v>
      </c>
      <c r="J22" s="9">
        <v>97</v>
      </c>
      <c r="K22" s="11">
        <v>15</v>
      </c>
      <c r="L22" s="11">
        <v>6</v>
      </c>
      <c r="M22" s="11">
        <v>8</v>
      </c>
      <c r="N22" s="11"/>
      <c r="O22" s="9">
        <v>29</v>
      </c>
      <c r="P22" s="16">
        <v>-0.4285714285714286</v>
      </c>
      <c r="Q22" s="12">
        <v>-0.25641025641025639</v>
      </c>
      <c r="R22" s="13">
        <v>5.2111410601976636E-3</v>
      </c>
    </row>
    <row r="23" spans="1:18" ht="15" customHeight="1" x14ac:dyDescent="0.35">
      <c r="A23" s="15" t="s">
        <v>34</v>
      </c>
      <c r="B23" s="17">
        <v>1323</v>
      </c>
      <c r="C23" s="17">
        <v>934</v>
      </c>
      <c r="D23" s="17">
        <v>1025</v>
      </c>
      <c r="E23" s="17">
        <v>789</v>
      </c>
      <c r="F23" s="18">
        <v>198</v>
      </c>
      <c r="G23" s="18">
        <v>99</v>
      </c>
      <c r="H23" s="18">
        <v>102</v>
      </c>
      <c r="I23" s="18">
        <v>172</v>
      </c>
      <c r="J23" s="17">
        <v>571</v>
      </c>
      <c r="K23" s="19">
        <v>124</v>
      </c>
      <c r="L23" s="19">
        <v>82</v>
      </c>
      <c r="M23" s="11">
        <v>83</v>
      </c>
      <c r="N23" s="11"/>
      <c r="O23" s="17">
        <v>289</v>
      </c>
      <c r="P23" s="23">
        <v>-0.18627450980392157</v>
      </c>
      <c r="Q23" s="20">
        <v>-0.27568922305764409</v>
      </c>
      <c r="R23" s="21">
        <v>5.1931716082659479E-2</v>
      </c>
    </row>
    <row r="24" spans="1:18" ht="15" customHeight="1" x14ac:dyDescent="0.35">
      <c r="A24" t="s">
        <v>35</v>
      </c>
      <c r="B24" s="9">
        <f>SUBTOTAL(109,Tabell_Kalv[2020])</f>
        <v>13468</v>
      </c>
      <c r="C24" s="9">
        <f>SUBTOTAL(109,Tabell_Kalv[2021])</f>
        <v>11499</v>
      </c>
      <c r="D24" s="9">
        <f>SUBTOTAL(109,Tabell_Kalv[2022])</f>
        <v>11474</v>
      </c>
      <c r="E24" s="9">
        <f>SUBTOTAL(109,Tabell_Kalv[2023])</f>
        <v>10977</v>
      </c>
      <c r="F24" s="9">
        <f>SUBTOTAL(109,Tabell_Kalv[Kvartal 1 2024])</f>
        <v>2824</v>
      </c>
      <c r="G24" s="9">
        <f>SUBTOTAL(109,Tabell_Kalv[Kvartal 2 2024])</f>
        <v>2479</v>
      </c>
      <c r="H24" s="9">
        <f>SUBTOTAL(109,Tabell_Kalv[Kvartal 3 2024])</f>
        <v>2294</v>
      </c>
      <c r="I24" s="9">
        <f>SUBTOTAL(109,Tabell_Kalv[Kvartal 4 2024])</f>
        <v>2359</v>
      </c>
      <c r="J24" s="9">
        <f>SUBTOTAL(109,Tabell_Kalv[2024])</f>
        <v>9956</v>
      </c>
      <c r="K24" s="9">
        <f>SUBTOTAL(109,Tabell_Kalv[Kvartal 1 2025])</f>
        <v>2089</v>
      </c>
      <c r="L24" s="9">
        <f>SUBTOTAL(109,Tabell_Kalv[Kvartal 2 2025])</f>
        <v>1962</v>
      </c>
      <c r="M24" s="9">
        <f>SUBTOTAL(109,Tabell_Kalv[Kvartal 3 2025])</f>
        <v>1514</v>
      </c>
      <c r="N24" s="9">
        <f>SUBTOTAL(109,Tabell_Kalv[Kvartal 4 2025])</f>
        <v>0</v>
      </c>
      <c r="O24" s="9">
        <f>SUBTOTAL(109,Tabell_Kalv[2025])</f>
        <v>5565</v>
      </c>
      <c r="P24" s="16">
        <f>M24/H24-1</f>
        <v>-0.34001743679163032</v>
      </c>
      <c r="Q24" s="16">
        <f>O24/SUM(F24:H24)-1</f>
        <v>-0.26747400289587997</v>
      </c>
      <c r="R24" s="13">
        <f>SUBTOTAL(109,Tabell_Kalv[Procentuell andel 2025*])</f>
        <v>0.99999999999999989</v>
      </c>
    </row>
    <row r="25" spans="1:18" ht="15" customHeight="1" x14ac:dyDescent="0.35">
      <c r="A25" t="s">
        <v>66</v>
      </c>
    </row>
    <row r="26" spans="1:18" ht="15" customHeight="1" x14ac:dyDescent="0.35">
      <c r="A26" t="s">
        <v>37</v>
      </c>
    </row>
    <row r="27" spans="1:18" ht="15" customHeight="1" x14ac:dyDescent="0.35">
      <c r="A27" t="s">
        <v>67</v>
      </c>
    </row>
    <row r="28" spans="1:18" ht="15" customHeight="1" x14ac:dyDescent="0.35">
      <c r="A28" t="s">
        <v>39</v>
      </c>
    </row>
    <row r="29" spans="1:18" ht="15" customHeight="1" x14ac:dyDescent="0.35"/>
    <row r="30" spans="1:18" ht="15" customHeight="1" x14ac:dyDescent="0.35"/>
    <row r="31" spans="1:18" ht="15" customHeight="1" x14ac:dyDescent="0.35"/>
    <row r="32" spans="1:18" ht="15" customHeight="1" x14ac:dyDescent="0.35"/>
    <row r="33" ht="15" customHeight="1" x14ac:dyDescent="0.35"/>
    <row r="34" ht="15" customHeight="1" x14ac:dyDescent="0.35"/>
    <row r="35" ht="15" customHeight="1" x14ac:dyDescent="0.35"/>
    <row r="36" ht="15" customHeight="1" x14ac:dyDescent="0.35"/>
    <row r="37" ht="15" customHeight="1" x14ac:dyDescent="0.35"/>
    <row r="38" ht="15" customHeight="1" x14ac:dyDescent="0.35"/>
    <row r="39" ht="15" customHeight="1" x14ac:dyDescent="0.35"/>
    <row r="40" ht="15" customHeight="1" x14ac:dyDescent="0.35"/>
    <row r="41" ht="15" customHeight="1" x14ac:dyDescent="0.35"/>
    <row r="42" ht="15" customHeight="1" x14ac:dyDescent="0.35"/>
    <row r="43" ht="15" customHeight="1" x14ac:dyDescent="0.35"/>
    <row r="44" ht="15" customHeight="1" x14ac:dyDescent="0.35"/>
    <row r="45" ht="15" customHeight="1" x14ac:dyDescent="0.35"/>
    <row r="46" ht="15" customHeight="1" x14ac:dyDescent="0.35"/>
    <row r="47" ht="15" customHeight="1" x14ac:dyDescent="0.35"/>
    <row r="48" ht="15" customHeight="1" x14ac:dyDescent="0.35"/>
    <row r="49" ht="15" customHeight="1" x14ac:dyDescent="0.35"/>
    <row r="50" ht="15" customHeight="1" x14ac:dyDescent="0.35"/>
    <row r="51" ht="15" customHeight="1" x14ac:dyDescent="0.35"/>
    <row r="52" ht="15" customHeight="1" x14ac:dyDescent="0.35"/>
    <row r="53" ht="15" customHeight="1" x14ac:dyDescent="0.35"/>
    <row r="54" ht="15" customHeight="1" x14ac:dyDescent="0.35"/>
    <row r="55" ht="15" customHeight="1" x14ac:dyDescent="0.35"/>
    <row r="56" ht="15" customHeight="1" x14ac:dyDescent="0.35"/>
    <row r="57" ht="15" customHeight="1" x14ac:dyDescent="0.35"/>
    <row r="58" ht="15" customHeight="1" x14ac:dyDescent="0.35"/>
    <row r="59" ht="15" customHeight="1" x14ac:dyDescent="0.35"/>
    <row r="60" ht="15" customHeight="1" x14ac:dyDescent="0.35"/>
    <row r="61" ht="15" customHeight="1" x14ac:dyDescent="0.35"/>
    <row r="62" ht="15" customHeight="1" x14ac:dyDescent="0.35"/>
    <row r="63" ht="15" customHeight="1" x14ac:dyDescent="0.35"/>
    <row r="64" ht="15" customHeight="1" x14ac:dyDescent="0.35"/>
    <row r="65" ht="15" customHeight="1" x14ac:dyDescent="0.35"/>
    <row r="66" ht="15" customHeight="1" x14ac:dyDescent="0.35"/>
    <row r="67" ht="15" customHeight="1" x14ac:dyDescent="0.35"/>
    <row r="68" ht="15" customHeight="1" x14ac:dyDescent="0.35"/>
    <row r="69" ht="15" customHeight="1" x14ac:dyDescent="0.35"/>
  </sheetData>
  <pageMargins left="0.70866141732283472" right="0.31496062992125984" top="0.55118110236220474" bottom="0.74803149606299213" header="0.31496062992125984" footer="0.31496062992125984"/>
  <pageSetup paperSize="9" scale="78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564BF-BE6E-4DDF-AC52-CB0EB96EECBE}">
  <sheetPr codeName="flFår">
    <pageSetUpPr fitToPage="1"/>
  </sheetPr>
  <dimension ref="A1:R92"/>
  <sheetViews>
    <sheetView workbookViewId="0">
      <selection activeCell="A2" sqref="A2"/>
    </sheetView>
  </sheetViews>
  <sheetFormatPr defaultColWidth="9.1796875" defaultRowHeight="12" x14ac:dyDescent="0.3"/>
  <cols>
    <col min="1" max="1" width="27" style="24" customWidth="1"/>
    <col min="2" max="15" width="8.26953125" style="24" customWidth="1"/>
    <col min="16" max="16" width="9.26953125" style="24" customWidth="1"/>
    <col min="17" max="17" width="10.1796875" style="24" customWidth="1"/>
    <col min="18" max="18" width="10" style="24" customWidth="1"/>
    <col min="19" max="16384" width="9.1796875" style="24"/>
  </cols>
  <sheetData>
    <row r="1" spans="1:18" ht="92.25" customHeight="1" x14ac:dyDescent="0.35">
      <c r="A1" s="1" t="s">
        <v>68</v>
      </c>
      <c r="B1"/>
      <c r="C1" s="1"/>
      <c r="E1"/>
      <c r="F1"/>
      <c r="G1"/>
      <c r="H1"/>
      <c r="I1"/>
      <c r="J1" s="1"/>
      <c r="K1"/>
      <c r="L1"/>
      <c r="M1"/>
      <c r="N1"/>
      <c r="O1"/>
      <c r="P1"/>
      <c r="Q1"/>
      <c r="R1" s="2"/>
    </row>
    <row r="2" spans="1:18" ht="45" customHeight="1" x14ac:dyDescent="0.3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4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4" t="s">
        <v>15</v>
      </c>
      <c r="P2" s="6" t="s">
        <v>16</v>
      </c>
      <c r="Q2" s="6" t="s">
        <v>17</v>
      </c>
      <c r="R2" s="7" t="s">
        <v>18</v>
      </c>
    </row>
    <row r="3" spans="1:18" ht="15" customHeight="1" x14ac:dyDescent="0.35">
      <c r="A3" t="s">
        <v>69</v>
      </c>
      <c r="B3" s="9">
        <v>2770</v>
      </c>
      <c r="C3" s="9">
        <v>3087</v>
      </c>
      <c r="D3" s="9">
        <v>2875</v>
      </c>
      <c r="E3" s="9">
        <v>1509</v>
      </c>
      <c r="F3" s="10">
        <v>249</v>
      </c>
      <c r="G3" s="10">
        <v>356</v>
      </c>
      <c r="H3" s="10">
        <v>462</v>
      </c>
      <c r="I3" s="10">
        <v>353</v>
      </c>
      <c r="J3" s="9">
        <v>1420</v>
      </c>
      <c r="K3" s="11">
        <v>242</v>
      </c>
      <c r="L3" s="11">
        <v>528</v>
      </c>
      <c r="M3" s="11">
        <v>383</v>
      </c>
      <c r="N3" s="11"/>
      <c r="O3" s="9">
        <v>1153</v>
      </c>
      <c r="P3" s="12">
        <v>-0.17099567099567103</v>
      </c>
      <c r="Q3" s="12">
        <v>8.0599812558575401E-2</v>
      </c>
      <c r="R3" s="13">
        <v>9.6565355399033503E-3</v>
      </c>
    </row>
    <row r="4" spans="1:18" ht="15" customHeight="1" x14ac:dyDescent="0.35">
      <c r="A4" t="s">
        <v>62</v>
      </c>
      <c r="B4" s="9">
        <v>2098</v>
      </c>
      <c r="C4" s="9">
        <v>1923</v>
      </c>
      <c r="D4" s="9">
        <v>1715</v>
      </c>
      <c r="E4" s="9">
        <v>1854</v>
      </c>
      <c r="F4" s="10">
        <v>358</v>
      </c>
      <c r="G4" s="10">
        <v>186</v>
      </c>
      <c r="H4" s="10">
        <v>349</v>
      </c>
      <c r="I4" s="10">
        <v>588</v>
      </c>
      <c r="J4" s="9">
        <v>1481</v>
      </c>
      <c r="K4" s="11">
        <v>264</v>
      </c>
      <c r="L4" s="11">
        <v>163</v>
      </c>
      <c r="M4" s="11">
        <v>397</v>
      </c>
      <c r="N4" s="11"/>
      <c r="O4" s="9">
        <v>824</v>
      </c>
      <c r="P4" s="12">
        <v>0.13753581661891112</v>
      </c>
      <c r="Q4" s="12">
        <v>-7.7267637178051518E-2</v>
      </c>
      <c r="R4" s="13">
        <v>6.9011147310324037E-3</v>
      </c>
    </row>
    <row r="5" spans="1:18" ht="15" customHeight="1" x14ac:dyDescent="0.35">
      <c r="A5" t="s">
        <v>21</v>
      </c>
      <c r="B5" s="9">
        <v>948</v>
      </c>
      <c r="C5" s="9">
        <v>921</v>
      </c>
      <c r="D5" s="9">
        <v>758</v>
      </c>
      <c r="E5" s="9">
        <v>754</v>
      </c>
      <c r="F5" s="10">
        <v>50</v>
      </c>
      <c r="G5" s="10">
        <v>85</v>
      </c>
      <c r="H5" s="10">
        <v>193</v>
      </c>
      <c r="I5" s="10">
        <v>317</v>
      </c>
      <c r="J5" s="9">
        <v>645</v>
      </c>
      <c r="K5" s="11">
        <v>15</v>
      </c>
      <c r="L5" s="11">
        <v>120</v>
      </c>
      <c r="M5" s="11">
        <v>219</v>
      </c>
      <c r="N5" s="11"/>
      <c r="O5" s="9">
        <v>354</v>
      </c>
      <c r="P5" s="12">
        <v>0.13471502590673579</v>
      </c>
      <c r="Q5" s="12">
        <v>7.92682926829269E-2</v>
      </c>
      <c r="R5" s="13">
        <v>2.9647992897881927E-3</v>
      </c>
    </row>
    <row r="6" spans="1:18" ht="15" customHeight="1" x14ac:dyDescent="0.35">
      <c r="A6" t="s">
        <v>63</v>
      </c>
      <c r="B6" s="9">
        <v>990</v>
      </c>
      <c r="C6" s="9">
        <v>1234</v>
      </c>
      <c r="D6" s="9">
        <v>1885</v>
      </c>
      <c r="E6" s="9">
        <v>2298</v>
      </c>
      <c r="F6" s="10">
        <v>287</v>
      </c>
      <c r="G6" s="10">
        <v>117</v>
      </c>
      <c r="H6" s="10">
        <v>368</v>
      </c>
      <c r="I6" s="10">
        <v>906</v>
      </c>
      <c r="J6" s="9">
        <v>1678</v>
      </c>
      <c r="K6" s="11">
        <v>153</v>
      </c>
      <c r="L6" s="11">
        <v>114</v>
      </c>
      <c r="M6" s="11">
        <v>373</v>
      </c>
      <c r="N6" s="11"/>
      <c r="O6" s="9">
        <v>640</v>
      </c>
      <c r="P6" s="12">
        <v>1.3586956521739024E-2</v>
      </c>
      <c r="Q6" s="12">
        <v>-0.17098445595854928</v>
      </c>
      <c r="R6" s="13">
        <v>5.3600891114814787E-3</v>
      </c>
    </row>
    <row r="7" spans="1:18" ht="15" customHeight="1" x14ac:dyDescent="0.35">
      <c r="A7" t="s">
        <v>44</v>
      </c>
      <c r="B7" s="9">
        <v>2152</v>
      </c>
      <c r="C7" s="9">
        <v>4381</v>
      </c>
      <c r="D7" s="9">
        <v>5280</v>
      </c>
      <c r="E7" s="9">
        <v>5505</v>
      </c>
      <c r="F7" s="10">
        <v>1036</v>
      </c>
      <c r="G7" s="10">
        <v>856</v>
      </c>
      <c r="H7" s="10">
        <v>1412</v>
      </c>
      <c r="I7" s="10">
        <v>1986</v>
      </c>
      <c r="J7" s="9">
        <v>5290</v>
      </c>
      <c r="K7" s="11">
        <v>628</v>
      </c>
      <c r="L7" s="11">
        <v>733</v>
      </c>
      <c r="M7" s="11">
        <v>937</v>
      </c>
      <c r="N7" s="11"/>
      <c r="O7" s="9">
        <v>2298</v>
      </c>
      <c r="P7" s="12">
        <v>-0.33640226628895187</v>
      </c>
      <c r="Q7" s="12">
        <v>-0.30447941888619856</v>
      </c>
      <c r="R7" s="13">
        <v>1.9246069965913184E-2</v>
      </c>
    </row>
    <row r="8" spans="1:18" ht="15" customHeight="1" x14ac:dyDescent="0.35">
      <c r="A8" t="s">
        <v>46</v>
      </c>
      <c r="B8" s="9">
        <v>1125</v>
      </c>
      <c r="C8" s="9">
        <v>1135</v>
      </c>
      <c r="D8" s="9">
        <v>1107</v>
      </c>
      <c r="E8" s="9">
        <v>1035</v>
      </c>
      <c r="F8" s="10">
        <v>170</v>
      </c>
      <c r="G8" s="10">
        <v>225</v>
      </c>
      <c r="H8" s="10">
        <v>199</v>
      </c>
      <c r="I8" s="10">
        <v>266</v>
      </c>
      <c r="J8" s="9">
        <v>860</v>
      </c>
      <c r="K8" s="11">
        <v>203</v>
      </c>
      <c r="L8" s="11">
        <v>170</v>
      </c>
      <c r="M8" s="11">
        <v>323</v>
      </c>
      <c r="N8" s="11"/>
      <c r="O8" s="9">
        <v>696</v>
      </c>
      <c r="P8" s="12">
        <v>0.62311557788944727</v>
      </c>
      <c r="Q8" s="12">
        <v>0.17171717171717171</v>
      </c>
      <c r="R8" s="13">
        <v>5.8290969087361078E-3</v>
      </c>
    </row>
    <row r="9" spans="1:18" ht="15" customHeight="1" x14ac:dyDescent="0.35">
      <c r="A9" t="s">
        <v>23</v>
      </c>
      <c r="B9" s="9">
        <v>2207</v>
      </c>
      <c r="C9" s="9">
        <v>1017</v>
      </c>
      <c r="D9" s="9">
        <v>1546</v>
      </c>
      <c r="E9" s="9">
        <v>2022</v>
      </c>
      <c r="F9" s="10">
        <v>287</v>
      </c>
      <c r="G9" s="10">
        <v>280</v>
      </c>
      <c r="H9" s="10">
        <v>603</v>
      </c>
      <c r="I9" s="10">
        <v>1045</v>
      </c>
      <c r="J9" s="9">
        <v>2215</v>
      </c>
      <c r="K9" s="11">
        <v>290</v>
      </c>
      <c r="L9" s="11">
        <v>595</v>
      </c>
      <c r="M9" s="11">
        <v>803</v>
      </c>
      <c r="N9" s="11"/>
      <c r="O9" s="9">
        <v>1688</v>
      </c>
      <c r="P9" s="12">
        <v>0.33167495854063023</v>
      </c>
      <c r="Q9" s="12">
        <v>0.44273504273504272</v>
      </c>
      <c r="R9" s="13">
        <v>1.41372350315324E-2</v>
      </c>
    </row>
    <row r="10" spans="1:18" ht="15" customHeight="1" x14ac:dyDescent="0.35">
      <c r="A10" t="s">
        <v>47</v>
      </c>
      <c r="B10" s="9">
        <v>1507</v>
      </c>
      <c r="C10" s="9">
        <v>1716</v>
      </c>
      <c r="D10" s="9">
        <v>1512</v>
      </c>
      <c r="E10" s="9">
        <v>1534</v>
      </c>
      <c r="F10" s="10">
        <v>330</v>
      </c>
      <c r="G10" s="10">
        <v>244</v>
      </c>
      <c r="H10" s="10">
        <v>553</v>
      </c>
      <c r="I10" s="10">
        <v>801</v>
      </c>
      <c r="J10" s="9">
        <v>1928</v>
      </c>
      <c r="K10" s="11">
        <v>261</v>
      </c>
      <c r="L10" s="11">
        <v>216</v>
      </c>
      <c r="M10" s="11">
        <v>442</v>
      </c>
      <c r="N10" s="11"/>
      <c r="O10" s="9">
        <v>919</v>
      </c>
      <c r="P10" s="12">
        <v>-0.20072332730560583</v>
      </c>
      <c r="Q10" s="12">
        <v>-0.18456078083407279</v>
      </c>
      <c r="R10" s="13">
        <v>7.6967529585179354E-3</v>
      </c>
    </row>
    <row r="11" spans="1:18" ht="15" customHeight="1" x14ac:dyDescent="0.35">
      <c r="A11" t="s">
        <v>25</v>
      </c>
      <c r="B11" s="9">
        <v>20680</v>
      </c>
      <c r="C11" s="9">
        <v>21982</v>
      </c>
      <c r="D11" s="9">
        <v>33808</v>
      </c>
      <c r="E11" s="9">
        <v>27525</v>
      </c>
      <c r="F11" s="10">
        <v>3928</v>
      </c>
      <c r="G11" s="10">
        <v>5289</v>
      </c>
      <c r="H11" s="10">
        <v>6464</v>
      </c>
      <c r="I11" s="10">
        <v>7384</v>
      </c>
      <c r="J11" s="9">
        <v>23065</v>
      </c>
      <c r="K11" s="11">
        <v>3585</v>
      </c>
      <c r="L11" s="11">
        <v>6872</v>
      </c>
      <c r="M11" s="11">
        <v>6295</v>
      </c>
      <c r="N11" s="11"/>
      <c r="O11" s="9">
        <v>16752</v>
      </c>
      <c r="P11" s="12">
        <v>-2.6144801980197974E-2</v>
      </c>
      <c r="Q11" s="12">
        <v>6.8299215611249187E-2</v>
      </c>
      <c r="R11" s="13">
        <v>0.1403003324930277</v>
      </c>
    </row>
    <row r="12" spans="1:18" ht="15" customHeight="1" x14ac:dyDescent="0.35">
      <c r="A12" t="s">
        <v>48</v>
      </c>
      <c r="B12" s="9">
        <v>11043</v>
      </c>
      <c r="C12" s="9">
        <v>11988</v>
      </c>
      <c r="D12" s="9">
        <v>4730</v>
      </c>
      <c r="E12" s="9">
        <v>14928</v>
      </c>
      <c r="F12" s="10">
        <v>2851</v>
      </c>
      <c r="G12" s="10">
        <v>4148</v>
      </c>
      <c r="H12" s="10">
        <v>5025</v>
      </c>
      <c r="I12" s="10">
        <v>4510</v>
      </c>
      <c r="J12" s="9">
        <v>16534</v>
      </c>
      <c r="K12" s="11">
        <v>2785</v>
      </c>
      <c r="L12" s="11">
        <v>4795</v>
      </c>
      <c r="M12" s="11">
        <v>4756</v>
      </c>
      <c r="N12" s="11"/>
      <c r="O12" s="9">
        <v>12336</v>
      </c>
      <c r="P12" s="12">
        <v>-5.3532338308457716E-2</v>
      </c>
      <c r="Q12" s="12">
        <v>2.5948103792415189E-2</v>
      </c>
      <c r="R12" s="13">
        <v>0.10331571762380549</v>
      </c>
    </row>
    <row r="13" spans="1:18" ht="15" customHeight="1" x14ac:dyDescent="0.35">
      <c r="A13" t="s">
        <v>70</v>
      </c>
      <c r="B13" s="9">
        <v>5312</v>
      </c>
      <c r="C13" s="9">
        <v>5662</v>
      </c>
      <c r="D13" s="9">
        <v>6303</v>
      </c>
      <c r="E13" s="9">
        <v>6801</v>
      </c>
      <c r="F13" s="10">
        <v>744</v>
      </c>
      <c r="G13" s="10">
        <v>562</v>
      </c>
      <c r="H13" s="10">
        <v>1326</v>
      </c>
      <c r="I13" s="10">
        <v>3248</v>
      </c>
      <c r="J13" s="9">
        <v>5880</v>
      </c>
      <c r="K13" s="11">
        <v>466</v>
      </c>
      <c r="L13" s="11">
        <v>796</v>
      </c>
      <c r="M13" s="11">
        <v>1456</v>
      </c>
      <c r="N13" s="11"/>
      <c r="O13" s="9">
        <v>2718</v>
      </c>
      <c r="P13" s="12">
        <v>9.8039215686274606E-2</v>
      </c>
      <c r="Q13" s="12">
        <v>3.2674772036474176E-2</v>
      </c>
      <c r="R13" s="13">
        <v>2.2763628445322905E-2</v>
      </c>
    </row>
    <row r="14" spans="1:18" ht="15" customHeight="1" x14ac:dyDescent="0.35">
      <c r="A14" t="s">
        <v>71</v>
      </c>
      <c r="B14" s="9">
        <v>3842</v>
      </c>
      <c r="C14" s="9">
        <v>3621</v>
      </c>
      <c r="D14" s="9">
        <v>3650</v>
      </c>
      <c r="E14" s="9">
        <v>3339</v>
      </c>
      <c r="F14" s="10">
        <v>205</v>
      </c>
      <c r="G14" s="10">
        <v>280</v>
      </c>
      <c r="H14" s="10">
        <v>794</v>
      </c>
      <c r="I14" s="10">
        <v>1465</v>
      </c>
      <c r="J14" s="9">
        <v>2744</v>
      </c>
      <c r="K14" s="11">
        <v>175</v>
      </c>
      <c r="L14" s="11">
        <v>117</v>
      </c>
      <c r="M14" s="11">
        <v>793</v>
      </c>
      <c r="N14" s="11"/>
      <c r="O14" s="9">
        <v>1085</v>
      </c>
      <c r="P14" s="12">
        <v>-1.2594458438287548E-3</v>
      </c>
      <c r="Q14" s="12">
        <v>-0.15168100078186086</v>
      </c>
      <c r="R14" s="13">
        <v>9.0870260718084444E-3</v>
      </c>
    </row>
    <row r="15" spans="1:18" ht="15" customHeight="1" x14ac:dyDescent="0.35">
      <c r="A15" t="s">
        <v>50</v>
      </c>
      <c r="B15" s="9">
        <v>3126</v>
      </c>
      <c r="C15" s="9">
        <v>3102</v>
      </c>
      <c r="D15" s="9">
        <v>3271</v>
      </c>
      <c r="E15" s="9">
        <v>3032</v>
      </c>
      <c r="F15" s="10">
        <v>223</v>
      </c>
      <c r="G15" s="10">
        <v>401</v>
      </c>
      <c r="H15" s="10">
        <v>1028</v>
      </c>
      <c r="I15" s="10">
        <v>1397</v>
      </c>
      <c r="J15" s="9">
        <v>3049</v>
      </c>
      <c r="K15" s="11">
        <v>297</v>
      </c>
      <c r="L15" s="11">
        <v>215</v>
      </c>
      <c r="M15" s="11">
        <v>770</v>
      </c>
      <c r="N15" s="11"/>
      <c r="O15" s="9">
        <v>1282</v>
      </c>
      <c r="P15" s="12">
        <v>-0.25097276264591439</v>
      </c>
      <c r="Q15" s="12">
        <v>-0.22397094430992737</v>
      </c>
      <c r="R15" s="13">
        <v>1.0736928501436337E-2</v>
      </c>
    </row>
    <row r="16" spans="1:18" ht="15" customHeight="1" x14ac:dyDescent="0.35">
      <c r="A16" t="s">
        <v>29</v>
      </c>
      <c r="B16" s="9">
        <v>30838</v>
      </c>
      <c r="C16" s="9">
        <v>29622</v>
      </c>
      <c r="D16" s="9">
        <v>28380</v>
      </c>
      <c r="E16" s="9">
        <v>30261</v>
      </c>
      <c r="F16" s="10">
        <v>5163</v>
      </c>
      <c r="G16" s="10">
        <v>6253</v>
      </c>
      <c r="H16" s="10">
        <v>7351</v>
      </c>
      <c r="I16" s="10">
        <v>8277</v>
      </c>
      <c r="J16" s="9">
        <v>27044</v>
      </c>
      <c r="K16" s="11">
        <v>5227</v>
      </c>
      <c r="L16" s="11">
        <v>6244</v>
      </c>
      <c r="M16" s="11">
        <v>7622</v>
      </c>
      <c r="N16" s="11"/>
      <c r="O16" s="9">
        <v>19093</v>
      </c>
      <c r="P16" s="12">
        <v>3.6865732553394093E-2</v>
      </c>
      <c r="Q16" s="12">
        <v>1.7370917035221423E-2</v>
      </c>
      <c r="R16" s="13">
        <v>0.15990653344611855</v>
      </c>
    </row>
    <row r="17" spans="1:18" ht="15" customHeight="1" x14ac:dyDescent="0.35">
      <c r="A17" t="s">
        <v>30</v>
      </c>
      <c r="B17" s="9">
        <v>3049</v>
      </c>
      <c r="C17" s="9">
        <v>3443</v>
      </c>
      <c r="D17" s="9">
        <v>3344</v>
      </c>
      <c r="E17" s="9">
        <v>3441</v>
      </c>
      <c r="F17" s="10">
        <v>721</v>
      </c>
      <c r="G17" s="10">
        <v>321</v>
      </c>
      <c r="H17" s="10">
        <v>717</v>
      </c>
      <c r="I17" s="10">
        <v>690</v>
      </c>
      <c r="J17" s="9">
        <v>2449</v>
      </c>
      <c r="K17" s="11">
        <v>778</v>
      </c>
      <c r="L17" s="11">
        <v>523</v>
      </c>
      <c r="M17" s="11">
        <v>708</v>
      </c>
      <c r="N17" s="11"/>
      <c r="O17" s="9">
        <v>2009</v>
      </c>
      <c r="P17" s="12">
        <v>-1.2552301255230103E-2</v>
      </c>
      <c r="Q17" s="12">
        <v>0.14212620807276855</v>
      </c>
      <c r="R17" s="13">
        <v>1.6825654726509827E-2</v>
      </c>
    </row>
    <row r="18" spans="1:18" ht="15" customHeight="1" x14ac:dyDescent="0.35">
      <c r="A18" t="s">
        <v>31</v>
      </c>
      <c r="B18" s="9">
        <v>2274</v>
      </c>
      <c r="C18" s="9">
        <v>2344</v>
      </c>
      <c r="D18" s="9">
        <v>2966</v>
      </c>
      <c r="E18" s="9">
        <v>3710</v>
      </c>
      <c r="F18" s="10">
        <v>388</v>
      </c>
      <c r="G18" s="10">
        <v>290</v>
      </c>
      <c r="H18" s="10">
        <v>936</v>
      </c>
      <c r="I18" s="10">
        <v>1748</v>
      </c>
      <c r="J18" s="9">
        <v>3362</v>
      </c>
      <c r="K18" s="11">
        <v>363</v>
      </c>
      <c r="L18" s="11">
        <v>273</v>
      </c>
      <c r="M18" s="11">
        <v>759</v>
      </c>
      <c r="N18" s="11"/>
      <c r="O18" s="9">
        <v>1395</v>
      </c>
      <c r="P18" s="12">
        <v>-0.1891025641025641</v>
      </c>
      <c r="Q18" s="12">
        <v>-0.13568773234200748</v>
      </c>
      <c r="R18" s="13">
        <v>1.1683319235182284E-2</v>
      </c>
    </row>
    <row r="19" spans="1:18" ht="15" customHeight="1" x14ac:dyDescent="0.35">
      <c r="A19" t="s">
        <v>54</v>
      </c>
      <c r="B19" s="9">
        <v>95301</v>
      </c>
      <c r="C19" s="9">
        <v>87156</v>
      </c>
      <c r="D19" s="9">
        <v>84407</v>
      </c>
      <c r="E19" s="9">
        <v>82992</v>
      </c>
      <c r="F19" s="10">
        <v>12814</v>
      </c>
      <c r="G19" s="10">
        <v>16049</v>
      </c>
      <c r="H19" s="10">
        <v>20936</v>
      </c>
      <c r="I19" s="10">
        <v>22055</v>
      </c>
      <c r="J19" s="9">
        <v>71854</v>
      </c>
      <c r="K19" s="11">
        <v>9198</v>
      </c>
      <c r="L19" s="11">
        <v>14917</v>
      </c>
      <c r="M19" s="11">
        <v>16680</v>
      </c>
      <c r="N19" s="11"/>
      <c r="O19" s="9">
        <v>40795</v>
      </c>
      <c r="P19" s="12">
        <v>-0.2032862055789072</v>
      </c>
      <c r="Q19" s="12">
        <v>-0.18080684351091392</v>
      </c>
      <c r="R19" s="13">
        <v>0.34166380516076078</v>
      </c>
    </row>
    <row r="20" spans="1:18" ht="15" customHeight="1" x14ac:dyDescent="0.35">
      <c r="A20" t="s">
        <v>72</v>
      </c>
      <c r="B20" s="9">
        <v>10399</v>
      </c>
      <c r="C20" s="9">
        <v>9746</v>
      </c>
      <c r="D20" s="9">
        <v>8704</v>
      </c>
      <c r="E20" s="9">
        <v>8263</v>
      </c>
      <c r="F20" s="10">
        <v>1363</v>
      </c>
      <c r="G20" s="10">
        <v>851</v>
      </c>
      <c r="H20" s="10">
        <v>1984</v>
      </c>
      <c r="I20" s="10">
        <v>2629</v>
      </c>
      <c r="J20" s="9">
        <v>6827</v>
      </c>
      <c r="K20" s="11">
        <v>1081</v>
      </c>
      <c r="L20" s="11">
        <v>949</v>
      </c>
      <c r="M20" s="11">
        <v>1487</v>
      </c>
      <c r="N20" s="11"/>
      <c r="O20" s="9">
        <v>3517</v>
      </c>
      <c r="P20" s="12">
        <v>-0.2505040322580645</v>
      </c>
      <c r="Q20" s="12">
        <v>-0.16222010481181515</v>
      </c>
      <c r="R20" s="13">
        <v>2.9455364695438063E-2</v>
      </c>
    </row>
    <row r="21" spans="1:18" ht="15" customHeight="1" x14ac:dyDescent="0.35">
      <c r="A21" t="s">
        <v>55</v>
      </c>
      <c r="B21" s="9">
        <v>949</v>
      </c>
      <c r="C21" s="9">
        <v>1133</v>
      </c>
      <c r="D21" s="9">
        <v>1019</v>
      </c>
      <c r="E21" s="9">
        <v>1117</v>
      </c>
      <c r="F21" s="10">
        <v>222</v>
      </c>
      <c r="G21" s="10">
        <v>131</v>
      </c>
      <c r="H21" s="10">
        <v>199</v>
      </c>
      <c r="I21" s="10">
        <v>364</v>
      </c>
      <c r="J21" s="9">
        <v>916</v>
      </c>
      <c r="K21" s="11">
        <v>247</v>
      </c>
      <c r="L21" s="11">
        <v>53</v>
      </c>
      <c r="M21" s="11">
        <v>256</v>
      </c>
      <c r="N21" s="11"/>
      <c r="O21" s="9">
        <v>556</v>
      </c>
      <c r="P21" s="12">
        <v>0.28643216080402012</v>
      </c>
      <c r="Q21" s="12">
        <v>7.2463768115942351E-3</v>
      </c>
      <c r="R21" s="13">
        <v>4.6565774155995342E-3</v>
      </c>
    </row>
    <row r="22" spans="1:18" ht="15" customHeight="1" x14ac:dyDescent="0.35">
      <c r="A22" t="s">
        <v>56</v>
      </c>
      <c r="B22" s="9">
        <v>2068</v>
      </c>
      <c r="C22" s="9">
        <v>2178</v>
      </c>
      <c r="D22" s="9">
        <v>2468</v>
      </c>
      <c r="E22" s="9">
        <v>287</v>
      </c>
      <c r="F22" s="10">
        <v>95</v>
      </c>
      <c r="G22" s="10">
        <v>144</v>
      </c>
      <c r="H22" s="10">
        <v>202</v>
      </c>
      <c r="I22" s="10">
        <v>543</v>
      </c>
      <c r="J22" s="9">
        <v>984</v>
      </c>
      <c r="K22" s="11">
        <v>160</v>
      </c>
      <c r="L22" s="11">
        <v>57</v>
      </c>
      <c r="M22" s="11">
        <v>185</v>
      </c>
      <c r="N22" s="11"/>
      <c r="O22" s="9">
        <v>402</v>
      </c>
      <c r="P22" s="12">
        <v>-8.4158415841584122E-2</v>
      </c>
      <c r="Q22" s="12">
        <v>-8.8435374149659851E-2</v>
      </c>
      <c r="R22" s="13">
        <v>3.3668059731493038E-3</v>
      </c>
    </row>
    <row r="23" spans="1:18" ht="15" customHeight="1" x14ac:dyDescent="0.35">
      <c r="A23" t="s">
        <v>65</v>
      </c>
      <c r="B23" s="9">
        <v>1567</v>
      </c>
      <c r="C23" s="9">
        <v>1425</v>
      </c>
      <c r="D23" s="9">
        <v>1174</v>
      </c>
      <c r="E23" s="9">
        <v>1244</v>
      </c>
      <c r="F23" s="10">
        <v>111</v>
      </c>
      <c r="G23" s="10">
        <v>19</v>
      </c>
      <c r="H23" s="10">
        <v>338</v>
      </c>
      <c r="I23" s="10">
        <v>607</v>
      </c>
      <c r="J23" s="9">
        <v>1075</v>
      </c>
      <c r="K23" s="11">
        <v>44</v>
      </c>
      <c r="L23" s="11">
        <v>12</v>
      </c>
      <c r="M23" s="11">
        <v>394</v>
      </c>
      <c r="N23" s="11"/>
      <c r="O23" s="9">
        <v>450</v>
      </c>
      <c r="P23" s="12">
        <v>0.16568047337278102</v>
      </c>
      <c r="Q23" s="12">
        <v>-3.8461538461538436E-2</v>
      </c>
      <c r="R23" s="13">
        <v>3.7688126565104145E-3</v>
      </c>
    </row>
    <row r="24" spans="1:18" ht="15" customHeight="1" x14ac:dyDescent="0.35">
      <c r="A24" t="s">
        <v>57</v>
      </c>
      <c r="B24" s="9">
        <v>1531</v>
      </c>
      <c r="C24" s="9">
        <v>1396</v>
      </c>
      <c r="D24" s="9">
        <v>1047</v>
      </c>
      <c r="E24" s="9">
        <v>1040</v>
      </c>
      <c r="F24" s="10">
        <v>121</v>
      </c>
      <c r="G24" s="10">
        <v>73</v>
      </c>
      <c r="H24" s="10">
        <v>239</v>
      </c>
      <c r="I24" s="10">
        <v>494</v>
      </c>
      <c r="J24" s="9">
        <v>927</v>
      </c>
      <c r="K24" s="11">
        <v>101</v>
      </c>
      <c r="L24" s="11">
        <v>113</v>
      </c>
      <c r="M24" s="11">
        <v>212</v>
      </c>
      <c r="N24" s="11"/>
      <c r="O24" s="9">
        <v>426</v>
      </c>
      <c r="P24" s="12">
        <v>-0.11297071129707115</v>
      </c>
      <c r="Q24" s="12">
        <v>-1.6166281755196299E-2</v>
      </c>
      <c r="R24" s="13">
        <v>3.5678093148298591E-3</v>
      </c>
    </row>
    <row r="25" spans="1:18" ht="15" customHeight="1" x14ac:dyDescent="0.35">
      <c r="A25" t="s">
        <v>73</v>
      </c>
      <c r="B25" s="9">
        <v>1286</v>
      </c>
      <c r="C25" s="9">
        <v>1410</v>
      </c>
      <c r="D25" s="9">
        <v>1457</v>
      </c>
      <c r="E25" s="9">
        <v>1637</v>
      </c>
      <c r="F25" s="10">
        <v>157</v>
      </c>
      <c r="G25" s="10">
        <v>106</v>
      </c>
      <c r="H25" s="10">
        <v>391</v>
      </c>
      <c r="I25" s="10">
        <v>670</v>
      </c>
      <c r="J25" s="9">
        <v>1324</v>
      </c>
      <c r="K25" s="11">
        <v>110</v>
      </c>
      <c r="L25" s="11">
        <v>178</v>
      </c>
      <c r="M25" s="11">
        <v>435</v>
      </c>
      <c r="N25" s="11"/>
      <c r="O25" s="9">
        <v>723</v>
      </c>
      <c r="P25" s="12">
        <v>0.11253196930946285</v>
      </c>
      <c r="Q25" s="12">
        <v>0.10550458715596323</v>
      </c>
      <c r="R25" s="13">
        <v>6.0552256681267328E-3</v>
      </c>
    </row>
    <row r="26" spans="1:18" ht="15" customHeight="1" x14ac:dyDescent="0.35">
      <c r="A26" t="s">
        <v>74</v>
      </c>
      <c r="B26" s="9">
        <v>1186</v>
      </c>
      <c r="C26" s="9">
        <v>1062</v>
      </c>
      <c r="D26" s="9">
        <v>952</v>
      </c>
      <c r="E26" s="9">
        <v>903</v>
      </c>
      <c r="F26" s="10">
        <v>99</v>
      </c>
      <c r="G26" s="10">
        <v>104</v>
      </c>
      <c r="H26" s="10">
        <v>162</v>
      </c>
      <c r="I26" s="10">
        <v>387</v>
      </c>
      <c r="J26" s="9">
        <v>752</v>
      </c>
      <c r="K26" s="11">
        <v>135</v>
      </c>
      <c r="L26" s="11">
        <v>95</v>
      </c>
      <c r="M26" s="11">
        <v>221</v>
      </c>
      <c r="N26" s="11"/>
      <c r="O26" s="9">
        <v>451</v>
      </c>
      <c r="P26" s="12">
        <v>0.36419753086419759</v>
      </c>
      <c r="Q26" s="12">
        <v>0.2356164383561643</v>
      </c>
      <c r="R26" s="13">
        <v>3.7771877957471045E-3</v>
      </c>
    </row>
    <row r="27" spans="1:18" ht="15" customHeight="1" x14ac:dyDescent="0.35">
      <c r="A27" t="s">
        <v>75</v>
      </c>
      <c r="B27" s="9">
        <v>4342</v>
      </c>
      <c r="C27" s="9">
        <v>4327</v>
      </c>
      <c r="D27" s="9">
        <v>3950</v>
      </c>
      <c r="E27" s="9">
        <v>3969</v>
      </c>
      <c r="F27" s="10">
        <v>406</v>
      </c>
      <c r="G27" s="10">
        <v>319</v>
      </c>
      <c r="H27" s="10">
        <v>977</v>
      </c>
      <c r="I27" s="10">
        <v>1835</v>
      </c>
      <c r="J27" s="9">
        <v>3537</v>
      </c>
      <c r="K27" s="11">
        <v>360</v>
      </c>
      <c r="L27" s="11">
        <v>403</v>
      </c>
      <c r="M27" s="11">
        <v>857</v>
      </c>
      <c r="N27" s="11"/>
      <c r="O27" s="9">
        <v>1620</v>
      </c>
      <c r="P27" s="12">
        <v>-0.12282497441146367</v>
      </c>
      <c r="Q27" s="12">
        <v>-4.817861339600471E-2</v>
      </c>
      <c r="R27" s="13">
        <v>1.3567725563437492E-2</v>
      </c>
    </row>
    <row r="28" spans="1:18" ht="15" customHeight="1" x14ac:dyDescent="0.35">
      <c r="A28" t="s">
        <v>34</v>
      </c>
      <c r="B28" s="9">
        <v>27927</v>
      </c>
      <c r="C28" s="9">
        <v>23109</v>
      </c>
      <c r="D28" s="9">
        <v>20514</v>
      </c>
      <c r="E28" s="9">
        <v>18132</v>
      </c>
      <c r="F28" s="10">
        <v>1702</v>
      </c>
      <c r="G28" s="10">
        <v>1128</v>
      </c>
      <c r="H28" s="10">
        <v>3255</v>
      </c>
      <c r="I28" s="10">
        <v>7877</v>
      </c>
      <c r="J28" s="9">
        <v>13962</v>
      </c>
      <c r="K28" s="11">
        <v>1318</v>
      </c>
      <c r="L28" s="11">
        <v>1219</v>
      </c>
      <c r="M28" s="11">
        <v>2682</v>
      </c>
      <c r="N28" s="11"/>
      <c r="O28" s="9">
        <v>5219</v>
      </c>
      <c r="P28" s="12">
        <v>-0.17603686635944704</v>
      </c>
      <c r="Q28" s="12">
        <v>-0.14231717337715699</v>
      </c>
      <c r="R28" s="13">
        <v>4.370985167628412E-2</v>
      </c>
    </row>
    <row r="29" spans="1:18" ht="15" customHeight="1" x14ac:dyDescent="0.35">
      <c r="A29" t="s">
        <v>35</v>
      </c>
      <c r="B29" s="9">
        <f>SUBTOTAL(109,Tabell_Får[2020])</f>
        <v>240517</v>
      </c>
      <c r="C29" s="9">
        <f>SUBTOTAL(109,Tabell_Får[2021])</f>
        <v>230120</v>
      </c>
      <c r="D29" s="9">
        <f>SUBTOTAL(109,Tabell_Får[2022])</f>
        <v>228822</v>
      </c>
      <c r="E29" s="9">
        <f>SUBTOTAL(109,Tabell_Får[2023])</f>
        <v>229132</v>
      </c>
      <c r="F29" s="9">
        <f>SUBTOTAL(109,Tabell_Får[Kvartal 1 2024])</f>
        <v>34080</v>
      </c>
      <c r="G29" s="9">
        <f>SUBTOTAL(109,Tabell_Får[Kvartal 2 2024])</f>
        <v>38817</v>
      </c>
      <c r="H29" s="9">
        <f>SUBTOTAL(109,Tabell_Får[Kvartal 3 2024])</f>
        <v>56463</v>
      </c>
      <c r="I29" s="9">
        <f>SUBTOTAL(109,Tabell_Får[Kvartal 4 2024])</f>
        <v>72442</v>
      </c>
      <c r="J29" s="9">
        <f>SUBTOTAL(109,Tabell_Får[2024])</f>
        <v>201802</v>
      </c>
      <c r="K29" s="9">
        <f>SUBTOTAL(109,Tabell_Får[Kvartal 1 2025])</f>
        <v>28486</v>
      </c>
      <c r="L29" s="9">
        <f>SUBTOTAL(109,Tabell_Får[Kvartal 2 2025])</f>
        <v>40470</v>
      </c>
      <c r="M29" s="9">
        <f>SUBTOTAL(109,Tabell_Får[Kvartal 3 2025])</f>
        <v>50445</v>
      </c>
      <c r="N29" s="9">
        <f>SUBTOTAL(109,Tabell_Får[Kvartal 4 2025])</f>
        <v>0</v>
      </c>
      <c r="O29" s="9">
        <f>SUBTOTAL(109,Tabell_Får[2025])</f>
        <v>119401</v>
      </c>
      <c r="P29" s="16">
        <f>M29/H29-1</f>
        <v>-0.10658307210031348</v>
      </c>
      <c r="Q29" s="16">
        <f>O29/SUM(F29:H29)-1</f>
        <v>-7.6986703772418008E-2</v>
      </c>
      <c r="R29" s="13">
        <f>SUBTOTAL(109,Tabell_Får[Procentuell andel 2025*])</f>
        <v>1</v>
      </c>
    </row>
    <row r="30" spans="1:18" ht="15" customHeight="1" x14ac:dyDescent="0.3">
      <c r="A30" s="24" t="s">
        <v>76</v>
      </c>
    </row>
    <row r="31" spans="1:18" ht="15" customHeight="1" x14ac:dyDescent="0.3">
      <c r="A31" s="24" t="s">
        <v>37</v>
      </c>
    </row>
    <row r="32" spans="1:18" ht="15" customHeight="1" x14ac:dyDescent="0.3">
      <c r="A32" s="24" t="s">
        <v>77</v>
      </c>
    </row>
    <row r="33" spans="1:1" ht="15" customHeight="1" x14ac:dyDescent="0.3">
      <c r="A33" s="24" t="s">
        <v>39</v>
      </c>
    </row>
    <row r="34" spans="1:1" ht="15" customHeight="1" x14ac:dyDescent="0.3"/>
    <row r="35" spans="1:1" ht="15" customHeight="1" x14ac:dyDescent="0.3"/>
    <row r="36" spans="1:1" ht="15" customHeight="1" x14ac:dyDescent="0.3"/>
    <row r="37" spans="1:1" ht="15" customHeight="1" x14ac:dyDescent="0.3"/>
    <row r="38" spans="1:1" ht="15" customHeight="1" x14ac:dyDescent="0.3"/>
    <row r="39" spans="1:1" ht="15" customHeight="1" x14ac:dyDescent="0.3"/>
    <row r="40" spans="1:1" ht="15" customHeight="1" x14ac:dyDescent="0.3"/>
    <row r="41" spans="1:1" ht="15" customHeight="1" x14ac:dyDescent="0.3"/>
    <row r="42" spans="1:1" ht="15" customHeight="1" x14ac:dyDescent="0.3"/>
    <row r="43" spans="1:1" ht="15" customHeight="1" x14ac:dyDescent="0.3"/>
    <row r="44" spans="1:1" ht="15" customHeight="1" x14ac:dyDescent="0.3"/>
    <row r="45" spans="1:1" ht="15" customHeight="1" x14ac:dyDescent="0.3"/>
    <row r="46" spans="1:1" ht="15" customHeight="1" x14ac:dyDescent="0.3"/>
    <row r="47" spans="1:1" ht="15" customHeight="1" x14ac:dyDescent="0.3"/>
    <row r="48" spans="1:1" ht="15" customHeight="1" x14ac:dyDescent="0.3"/>
    <row r="49" ht="15" customHeight="1" x14ac:dyDescent="0.3"/>
    <row r="50" ht="15" customHeight="1" x14ac:dyDescent="0.3"/>
    <row r="51" ht="1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6" ht="15" customHeight="1" x14ac:dyDescent="0.3"/>
    <row r="57" ht="15" customHeight="1" x14ac:dyDescent="0.3"/>
    <row r="58" ht="15" customHeight="1" x14ac:dyDescent="0.3"/>
    <row r="59" ht="15" customHeight="1" x14ac:dyDescent="0.3"/>
    <row r="60" ht="15" customHeight="1" x14ac:dyDescent="0.3"/>
    <row r="61" ht="15" customHeight="1" x14ac:dyDescent="0.3"/>
    <row r="62" ht="15" customHeight="1" x14ac:dyDescent="0.3"/>
    <row r="63" ht="15" customHeight="1" x14ac:dyDescent="0.3"/>
    <row r="64" ht="1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  <row r="73" ht="15" customHeight="1" x14ac:dyDescent="0.3"/>
    <row r="74" ht="15" customHeight="1" x14ac:dyDescent="0.3"/>
    <row r="75" ht="15" customHeight="1" x14ac:dyDescent="0.3"/>
    <row r="76" ht="15" customHeight="1" x14ac:dyDescent="0.3"/>
    <row r="77" ht="15" customHeight="1" x14ac:dyDescent="0.3"/>
    <row r="78" ht="15" customHeight="1" x14ac:dyDescent="0.3"/>
    <row r="79" ht="15" customHeight="1" x14ac:dyDescent="0.3"/>
    <row r="80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</sheetData>
  <dataConsolidate/>
  <pageMargins left="0.70866141732283472" right="0.31496062992125984" top="0.55118110236220474" bottom="0.74803149606299213" header="0.31496062992125984" footer="0.31496062992125984"/>
  <pageSetup paperSize="9" scale="78" fitToHeight="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4DE0C-F005-45D2-BD19-94F0D7C8016A}">
  <sheetPr codeName="flHäst">
    <pageSetUpPr fitToPage="1"/>
  </sheetPr>
  <dimension ref="A1:R92"/>
  <sheetViews>
    <sheetView workbookViewId="0">
      <selection activeCell="A2" sqref="A2"/>
    </sheetView>
  </sheetViews>
  <sheetFormatPr defaultColWidth="9.1796875" defaultRowHeight="12" x14ac:dyDescent="0.3"/>
  <cols>
    <col min="1" max="1" width="27" style="24" customWidth="1"/>
    <col min="2" max="15" width="8.26953125" style="24" customWidth="1"/>
    <col min="16" max="16" width="9.26953125" style="24" customWidth="1"/>
    <col min="17" max="17" width="10.1796875" style="24" customWidth="1"/>
    <col min="18" max="18" width="10" style="24" customWidth="1"/>
    <col min="19" max="16384" width="9.1796875" style="24"/>
  </cols>
  <sheetData>
    <row r="1" spans="1:18" ht="92.25" customHeight="1" x14ac:dyDescent="0.35">
      <c r="A1" s="1" t="s">
        <v>78</v>
      </c>
      <c r="B1"/>
      <c r="C1" s="1"/>
      <c r="E1"/>
      <c r="F1"/>
      <c r="G1"/>
      <c r="H1"/>
      <c r="I1"/>
      <c r="J1" s="1"/>
      <c r="K1"/>
      <c r="L1"/>
      <c r="M1"/>
      <c r="N1"/>
      <c r="O1"/>
      <c r="P1"/>
      <c r="Q1"/>
      <c r="R1" s="2"/>
    </row>
    <row r="2" spans="1:18" ht="45" customHeight="1" x14ac:dyDescent="0.3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4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4" t="s">
        <v>15</v>
      </c>
      <c r="P2" s="6" t="s">
        <v>16</v>
      </c>
      <c r="Q2" s="6" t="s">
        <v>17</v>
      </c>
      <c r="R2" s="7" t="s">
        <v>18</v>
      </c>
    </row>
    <row r="3" spans="1:18" ht="15" customHeight="1" x14ac:dyDescent="0.35">
      <c r="A3" t="s">
        <v>63</v>
      </c>
      <c r="B3" s="9">
        <v>128</v>
      </c>
      <c r="C3" s="9">
        <v>147</v>
      </c>
      <c r="D3" s="9">
        <v>181</v>
      </c>
      <c r="E3" s="9">
        <v>230</v>
      </c>
      <c r="F3" s="10">
        <v>47</v>
      </c>
      <c r="G3" s="10">
        <v>46</v>
      </c>
      <c r="H3" s="10">
        <v>69</v>
      </c>
      <c r="I3" s="10">
        <v>89</v>
      </c>
      <c r="J3" s="9">
        <v>251</v>
      </c>
      <c r="K3" s="11">
        <v>60</v>
      </c>
      <c r="L3" s="11">
        <v>36</v>
      </c>
      <c r="M3" s="11">
        <v>41</v>
      </c>
      <c r="N3" s="11"/>
      <c r="O3" s="9">
        <v>137</v>
      </c>
      <c r="P3" s="12">
        <v>-0.40579710144927539</v>
      </c>
      <c r="Q3" s="12">
        <v>-0.15432098765432101</v>
      </c>
      <c r="R3" s="13">
        <v>0.26346153846153847</v>
      </c>
    </row>
    <row r="4" spans="1:18" ht="15" customHeight="1" x14ac:dyDescent="0.35">
      <c r="A4" t="s">
        <v>46</v>
      </c>
      <c r="B4" s="9">
        <v>116</v>
      </c>
      <c r="C4" s="9">
        <v>105</v>
      </c>
      <c r="D4" s="9">
        <v>112</v>
      </c>
      <c r="E4" s="9">
        <v>112</v>
      </c>
      <c r="F4" s="10">
        <v>19</v>
      </c>
      <c r="G4" s="10">
        <v>29</v>
      </c>
      <c r="H4" s="10">
        <v>33</v>
      </c>
      <c r="I4" s="10">
        <v>39</v>
      </c>
      <c r="J4" s="9">
        <v>120</v>
      </c>
      <c r="K4" s="11">
        <v>38</v>
      </c>
      <c r="L4" s="11">
        <v>18</v>
      </c>
      <c r="M4" s="11">
        <v>22</v>
      </c>
      <c r="N4" s="11"/>
      <c r="O4" s="9">
        <v>78</v>
      </c>
      <c r="P4" s="12">
        <v>-0.33333333333333337</v>
      </c>
      <c r="Q4" s="12">
        <v>-3.703703703703709E-2</v>
      </c>
      <c r="R4" s="13">
        <v>0.15</v>
      </c>
    </row>
    <row r="5" spans="1:18" ht="15" customHeight="1" x14ac:dyDescent="0.35">
      <c r="A5" t="s">
        <v>50</v>
      </c>
      <c r="B5" s="9">
        <v>37</v>
      </c>
      <c r="C5" s="9">
        <v>50</v>
      </c>
      <c r="D5" s="9">
        <v>37</v>
      </c>
      <c r="E5" s="9">
        <v>32</v>
      </c>
      <c r="F5" s="10">
        <v>10</v>
      </c>
      <c r="G5" s="10">
        <v>7</v>
      </c>
      <c r="H5" s="10">
        <v>5</v>
      </c>
      <c r="I5" s="10">
        <v>7</v>
      </c>
      <c r="J5" s="9">
        <v>29</v>
      </c>
      <c r="K5" s="11">
        <v>2</v>
      </c>
      <c r="L5" s="11">
        <v>3</v>
      </c>
      <c r="M5" s="11">
        <v>4</v>
      </c>
      <c r="N5" s="11"/>
      <c r="O5" s="9">
        <v>9</v>
      </c>
      <c r="P5" s="12">
        <v>-0.19999999999999996</v>
      </c>
      <c r="Q5" s="12">
        <v>-0.59090909090909083</v>
      </c>
      <c r="R5" s="13">
        <v>1.7307692307692309E-2</v>
      </c>
    </row>
    <row r="6" spans="1:18" ht="15" customHeight="1" x14ac:dyDescent="0.35">
      <c r="A6" t="s">
        <v>51</v>
      </c>
      <c r="B6" s="9">
        <v>78</v>
      </c>
      <c r="C6" s="9">
        <v>60</v>
      </c>
      <c r="D6" s="9">
        <v>73</v>
      </c>
      <c r="E6" s="9">
        <v>78</v>
      </c>
      <c r="F6" s="10">
        <v>21</v>
      </c>
      <c r="G6" s="10">
        <v>34</v>
      </c>
      <c r="H6" s="10">
        <v>12</v>
      </c>
      <c r="I6" s="10">
        <v>15</v>
      </c>
      <c r="J6" s="9">
        <v>82</v>
      </c>
      <c r="K6" s="11">
        <v>11</v>
      </c>
      <c r="L6" s="11">
        <v>9</v>
      </c>
      <c r="M6" s="11"/>
      <c r="N6" s="11"/>
      <c r="O6" s="9">
        <v>20</v>
      </c>
      <c r="P6" s="12">
        <v>-1</v>
      </c>
      <c r="Q6" s="12">
        <v>-0.70149253731343286</v>
      </c>
      <c r="R6" s="13">
        <v>3.8461538461538464E-2</v>
      </c>
    </row>
    <row r="7" spans="1:18" ht="15" customHeight="1" x14ac:dyDescent="0.35">
      <c r="A7" t="s">
        <v>52</v>
      </c>
      <c r="B7" s="9">
        <v>263</v>
      </c>
      <c r="C7" s="9">
        <v>191</v>
      </c>
      <c r="D7" s="9">
        <v>229</v>
      </c>
      <c r="E7" s="9">
        <v>298</v>
      </c>
      <c r="F7" s="10">
        <v>86</v>
      </c>
      <c r="G7" s="10">
        <v>61</v>
      </c>
      <c r="H7" s="10">
        <v>49</v>
      </c>
      <c r="I7" s="10">
        <v>128</v>
      </c>
      <c r="J7" s="9">
        <v>324</v>
      </c>
      <c r="K7" s="11">
        <v>55</v>
      </c>
      <c r="L7" s="11">
        <v>44</v>
      </c>
      <c r="M7" s="11">
        <v>74</v>
      </c>
      <c r="N7" s="11"/>
      <c r="O7" s="9">
        <v>173</v>
      </c>
      <c r="P7" s="12">
        <v>0.51020408163265296</v>
      </c>
      <c r="Q7" s="12">
        <v>-0.11734693877551017</v>
      </c>
      <c r="R7" s="13">
        <v>0.33269230769230768</v>
      </c>
    </row>
    <row r="8" spans="1:18" ht="15" customHeight="1" x14ac:dyDescent="0.35">
      <c r="A8" t="s">
        <v>30</v>
      </c>
      <c r="B8" s="9">
        <v>21</v>
      </c>
      <c r="C8" s="9">
        <v>18</v>
      </c>
      <c r="D8" s="9">
        <v>15</v>
      </c>
      <c r="E8" s="9">
        <v>33</v>
      </c>
      <c r="F8" s="10">
        <v>11</v>
      </c>
      <c r="G8" s="10">
        <v>9</v>
      </c>
      <c r="H8" s="10">
        <v>8</v>
      </c>
      <c r="I8" s="10">
        <v>9</v>
      </c>
      <c r="J8" s="9">
        <v>37</v>
      </c>
      <c r="K8" s="11">
        <v>14</v>
      </c>
      <c r="L8" s="11">
        <v>2</v>
      </c>
      <c r="M8" s="11">
        <v>4</v>
      </c>
      <c r="N8" s="11"/>
      <c r="O8" s="9">
        <v>20</v>
      </c>
      <c r="P8" s="12">
        <v>-0.5</v>
      </c>
      <c r="Q8" s="12">
        <v>-0.2857142857142857</v>
      </c>
      <c r="R8" s="13">
        <v>3.8461538461538464E-2</v>
      </c>
    </row>
    <row r="9" spans="1:18" ht="15" customHeight="1" x14ac:dyDescent="0.35">
      <c r="A9" t="s">
        <v>55</v>
      </c>
      <c r="B9" s="9">
        <v>56</v>
      </c>
      <c r="C9" s="9">
        <v>30</v>
      </c>
      <c r="D9" s="9">
        <v>72</v>
      </c>
      <c r="E9" s="9">
        <v>108</v>
      </c>
      <c r="F9" s="10">
        <v>28</v>
      </c>
      <c r="G9" s="10">
        <v>25</v>
      </c>
      <c r="H9" s="10">
        <v>20</v>
      </c>
      <c r="I9" s="10">
        <v>30</v>
      </c>
      <c r="J9" s="9">
        <v>103</v>
      </c>
      <c r="K9" s="11">
        <v>17</v>
      </c>
      <c r="L9" s="11">
        <v>21</v>
      </c>
      <c r="M9" s="11">
        <v>16</v>
      </c>
      <c r="N9" s="11"/>
      <c r="O9" s="9">
        <v>54</v>
      </c>
      <c r="P9" s="12">
        <v>-0.19999999999999996</v>
      </c>
      <c r="Q9" s="12">
        <v>-0.26027397260273977</v>
      </c>
      <c r="R9" s="13">
        <v>0.10384615384615385</v>
      </c>
    </row>
    <row r="10" spans="1:18" ht="15" customHeight="1" x14ac:dyDescent="0.35">
      <c r="A10" t="s">
        <v>73</v>
      </c>
      <c r="B10" s="9">
        <v>19</v>
      </c>
      <c r="C10" s="9">
        <v>23</v>
      </c>
      <c r="D10" s="9">
        <v>24</v>
      </c>
      <c r="E10" s="9">
        <v>27</v>
      </c>
      <c r="F10" s="10">
        <v>11</v>
      </c>
      <c r="G10" s="10">
        <v>9</v>
      </c>
      <c r="H10" s="10">
        <v>2</v>
      </c>
      <c r="I10" s="10">
        <v>4</v>
      </c>
      <c r="J10" s="9">
        <v>26</v>
      </c>
      <c r="K10" s="11">
        <v>8</v>
      </c>
      <c r="L10" s="11">
        <v>3</v>
      </c>
      <c r="M10" s="11">
        <v>3</v>
      </c>
      <c r="N10" s="11"/>
      <c r="O10" s="9">
        <v>14</v>
      </c>
      <c r="P10" s="12">
        <v>0.5</v>
      </c>
      <c r="Q10" s="12">
        <v>-0.36363636363636365</v>
      </c>
      <c r="R10" s="13">
        <v>2.6923076923076925E-2</v>
      </c>
    </row>
    <row r="11" spans="1:18" ht="15" customHeight="1" x14ac:dyDescent="0.35">
      <c r="A11" t="s">
        <v>34</v>
      </c>
      <c r="B11" s="9">
        <v>695</v>
      </c>
      <c r="C11" s="9">
        <v>412</v>
      </c>
      <c r="D11" s="9">
        <v>300</v>
      </c>
      <c r="E11" s="9">
        <v>112</v>
      </c>
      <c r="F11" s="10">
        <v>75</v>
      </c>
      <c r="G11" s="10">
        <v>28</v>
      </c>
      <c r="H11" s="10">
        <v>45</v>
      </c>
      <c r="I11" s="10">
        <v>82</v>
      </c>
      <c r="J11" s="9">
        <v>230</v>
      </c>
      <c r="K11" s="11">
        <v>8</v>
      </c>
      <c r="L11" s="11">
        <v>1</v>
      </c>
      <c r="M11" s="11">
        <v>6</v>
      </c>
      <c r="N11" s="11"/>
      <c r="O11" s="9">
        <v>15</v>
      </c>
      <c r="P11" s="12">
        <v>-0.8666666666666667</v>
      </c>
      <c r="Q11" s="12">
        <v>-0.89864864864864868</v>
      </c>
      <c r="R11" s="13">
        <v>2.8846153846153848E-2</v>
      </c>
    </row>
    <row r="12" spans="1:18" ht="15" customHeight="1" x14ac:dyDescent="0.35">
      <c r="A12" t="s">
        <v>35</v>
      </c>
      <c r="B12" s="9">
        <f>SUBTOTAL(109,Tabell_Häst[2020])</f>
        <v>1413</v>
      </c>
      <c r="C12" s="9">
        <f>SUBTOTAL(109,Tabell_Häst[2021])</f>
        <v>1036</v>
      </c>
      <c r="D12" s="9">
        <f>SUBTOTAL(109,Tabell_Häst[2022])</f>
        <v>1043</v>
      </c>
      <c r="E12" s="9">
        <f>SUBTOTAL(109,Tabell_Häst[2023])</f>
        <v>1030</v>
      </c>
      <c r="F12" s="9">
        <f>SUBTOTAL(109,Tabell_Häst[Kvartal 1 2024])</f>
        <v>308</v>
      </c>
      <c r="G12" s="9">
        <f>SUBTOTAL(109,Tabell_Häst[Kvartal 2 2024])</f>
        <v>248</v>
      </c>
      <c r="H12" s="9">
        <f>SUBTOTAL(109,Tabell_Häst[Kvartal 3 2024])</f>
        <v>243</v>
      </c>
      <c r="I12" s="9">
        <f>SUBTOTAL(109,Tabell_Häst[Kvartal 4 2024])</f>
        <v>403</v>
      </c>
      <c r="J12" s="9">
        <f>SUBTOTAL(109,Tabell_Häst[2024])</f>
        <v>1202</v>
      </c>
      <c r="K12" s="9">
        <f>SUBTOTAL(109,Tabell_Häst[Kvartal 1 2025])</f>
        <v>213</v>
      </c>
      <c r="L12" s="9">
        <f>SUBTOTAL(109,Tabell_Häst[Kvartal 2 2025])</f>
        <v>137</v>
      </c>
      <c r="M12" s="9">
        <f>SUBTOTAL(109,Tabell_Häst[Kvartal 3 2025])</f>
        <v>170</v>
      </c>
      <c r="N12" s="9">
        <f>SUBTOTAL(109,Tabell_Häst[Kvartal 4 2025])</f>
        <v>0</v>
      </c>
      <c r="O12" s="9">
        <f>SUBTOTAL(109,Tabell_Häst[2025])</f>
        <v>520</v>
      </c>
      <c r="P12" s="16">
        <f>M12/H12-1</f>
        <v>-0.30041152263374482</v>
      </c>
      <c r="Q12" s="16">
        <f>O12/SUM(F12:H12)-1</f>
        <v>-0.3491864831038799</v>
      </c>
      <c r="R12" s="13">
        <f>SUBTOTAL(109,Tabell_Häst[Procentuell andel 2025*])</f>
        <v>1</v>
      </c>
    </row>
    <row r="13" spans="1:18" ht="15" customHeight="1" x14ac:dyDescent="0.3">
      <c r="A13" s="24" t="s">
        <v>79</v>
      </c>
    </row>
    <row r="14" spans="1:18" ht="15" customHeight="1" x14ac:dyDescent="0.3">
      <c r="A14" s="24" t="s">
        <v>37</v>
      </c>
    </row>
    <row r="15" spans="1:18" ht="15" customHeight="1" x14ac:dyDescent="0.3">
      <c r="A15" s="24" t="s">
        <v>80</v>
      </c>
    </row>
    <row r="16" spans="1:18" ht="15" customHeight="1" x14ac:dyDescent="0.3">
      <c r="A16" s="24" t="s">
        <v>39</v>
      </c>
    </row>
    <row r="17" ht="15" customHeight="1" x14ac:dyDescent="0.3"/>
    <row r="18" ht="15" customHeight="1" x14ac:dyDescent="0.3"/>
    <row r="19" ht="15" customHeight="1" x14ac:dyDescent="0.3"/>
    <row r="20" ht="15" customHeight="1" x14ac:dyDescent="0.3"/>
    <row r="21" ht="15" customHeight="1" x14ac:dyDescent="0.3"/>
    <row r="22" ht="15" customHeight="1" x14ac:dyDescent="0.3"/>
    <row r="23" ht="15" customHeight="1" x14ac:dyDescent="0.3"/>
    <row r="24" ht="15" customHeight="1" x14ac:dyDescent="0.3"/>
    <row r="25" ht="15" customHeight="1" x14ac:dyDescent="0.3"/>
    <row r="26" ht="15" customHeight="1" x14ac:dyDescent="0.3"/>
    <row r="27" ht="15" customHeight="1" x14ac:dyDescent="0.3"/>
    <row r="28" ht="15" customHeight="1" x14ac:dyDescent="0.3"/>
    <row r="29" ht="15" customHeight="1" x14ac:dyDescent="0.3"/>
    <row r="30" ht="15" customHeight="1" x14ac:dyDescent="0.3"/>
    <row r="31" ht="15" customHeight="1" x14ac:dyDescent="0.3"/>
    <row r="32" ht="15" customHeight="1" x14ac:dyDescent="0.3"/>
    <row r="33" ht="15" customHeight="1" x14ac:dyDescent="0.3"/>
    <row r="34" ht="15" customHeight="1" x14ac:dyDescent="0.3"/>
    <row r="35" ht="15" customHeight="1" x14ac:dyDescent="0.3"/>
    <row r="36" ht="15" customHeight="1" x14ac:dyDescent="0.3"/>
    <row r="37" ht="15" customHeight="1" x14ac:dyDescent="0.3"/>
    <row r="38" ht="15" customHeight="1" x14ac:dyDescent="0.3"/>
    <row r="39" ht="15" customHeight="1" x14ac:dyDescent="0.3"/>
    <row r="40" ht="15" customHeight="1" x14ac:dyDescent="0.3"/>
    <row r="41" ht="15" customHeight="1" x14ac:dyDescent="0.3"/>
    <row r="42" ht="15" customHeight="1" x14ac:dyDescent="0.3"/>
    <row r="43" ht="15" customHeight="1" x14ac:dyDescent="0.3"/>
    <row r="44" ht="15" customHeight="1" x14ac:dyDescent="0.3"/>
    <row r="45" ht="15" customHeight="1" x14ac:dyDescent="0.3"/>
    <row r="46" ht="15" customHeight="1" x14ac:dyDescent="0.3"/>
    <row r="47" ht="15" customHeight="1" x14ac:dyDescent="0.3"/>
    <row r="48" ht="15" customHeight="1" x14ac:dyDescent="0.3"/>
    <row r="49" ht="15" customHeight="1" x14ac:dyDescent="0.3"/>
    <row r="50" ht="15" customHeight="1" x14ac:dyDescent="0.3"/>
    <row r="51" ht="1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6" ht="15" customHeight="1" x14ac:dyDescent="0.3"/>
    <row r="57" ht="15" customHeight="1" x14ac:dyDescent="0.3"/>
    <row r="58" ht="15" customHeight="1" x14ac:dyDescent="0.3"/>
    <row r="59" ht="15" customHeight="1" x14ac:dyDescent="0.3"/>
    <row r="60" ht="15" customHeight="1" x14ac:dyDescent="0.3"/>
    <row r="61" ht="15" customHeight="1" x14ac:dyDescent="0.3"/>
    <row r="62" ht="15" customHeight="1" x14ac:dyDescent="0.3"/>
    <row r="63" ht="15" customHeight="1" x14ac:dyDescent="0.3"/>
    <row r="64" ht="1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  <row r="73" ht="15" customHeight="1" x14ac:dyDescent="0.3"/>
    <row r="74" ht="15" customHeight="1" x14ac:dyDescent="0.3"/>
    <row r="75" ht="15" customHeight="1" x14ac:dyDescent="0.3"/>
    <row r="76" ht="15" customHeight="1" x14ac:dyDescent="0.3"/>
    <row r="77" ht="15" customHeight="1" x14ac:dyDescent="0.3"/>
    <row r="78" ht="15" customHeight="1" x14ac:dyDescent="0.3"/>
    <row r="79" ht="15" customHeight="1" x14ac:dyDescent="0.3"/>
    <row r="80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</sheetData>
  <dataConsolidate/>
  <pageMargins left="0.70866141732283472" right="0.31496062992125984" top="0.55118110236220474" bottom="0.74803149606299213" header="0.31496062992125984" footer="0.31496062992125984"/>
  <pageSetup paperSize="9" scale="78" fitToHeight="0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93799-99A1-4244-A1C3-35EB38CA1EA0}">
  <sheetPr codeName="Blad1"/>
  <dimension ref="A1:H27"/>
  <sheetViews>
    <sheetView zoomScaleNormal="100" workbookViewId="0">
      <selection activeCell="A2" sqref="A2"/>
    </sheetView>
  </sheetViews>
  <sheetFormatPr defaultColWidth="9.81640625" defaultRowHeight="13" x14ac:dyDescent="0.3"/>
  <cols>
    <col min="1" max="1" width="27" style="27" customWidth="1"/>
    <col min="2" max="2" width="10.54296875" style="27" bestFit="1" customWidth="1"/>
    <col min="3" max="3" width="12.1796875" style="27" customWidth="1"/>
    <col min="4" max="5" width="10" style="27" bestFit="1" customWidth="1"/>
    <col min="6" max="6" width="8.7265625" style="27" customWidth="1"/>
    <col min="7" max="7" width="8.26953125" style="27" customWidth="1"/>
    <col min="8" max="16384" width="9.81640625" style="27"/>
  </cols>
  <sheetData>
    <row r="1" spans="1:8" s="24" customFormat="1" ht="92.25" customHeight="1" x14ac:dyDescent="0.35">
      <c r="A1" s="1" t="s">
        <v>81</v>
      </c>
      <c r="E1"/>
      <c r="F1"/>
      <c r="G1"/>
      <c r="H1"/>
    </row>
    <row r="2" spans="1:8" ht="14.5" x14ac:dyDescent="0.35">
      <c r="A2" s="25" t="s">
        <v>82</v>
      </c>
      <c r="B2" s="26" t="s">
        <v>83</v>
      </c>
      <c r="C2" s="26" t="s">
        <v>84</v>
      </c>
      <c r="D2" s="26" t="s">
        <v>85</v>
      </c>
      <c r="E2" s="26" t="s">
        <v>86</v>
      </c>
      <c r="F2" s="26" t="s">
        <v>87</v>
      </c>
      <c r="G2" s="26" t="s">
        <v>88</v>
      </c>
    </row>
    <row r="3" spans="1:8" ht="14.5" x14ac:dyDescent="0.35">
      <c r="A3" s="28">
        <v>2024</v>
      </c>
      <c r="B3" s="29">
        <v>2576464</v>
      </c>
      <c r="C3" s="29">
        <v>414188</v>
      </c>
      <c r="D3" s="29">
        <v>9943</v>
      </c>
      <c r="E3" s="29">
        <v>201486</v>
      </c>
      <c r="F3" s="29">
        <v>910</v>
      </c>
      <c r="G3" s="29">
        <v>1202</v>
      </c>
    </row>
    <row r="4" spans="1:8" ht="14.5" x14ac:dyDescent="0.35">
      <c r="A4" s="28">
        <v>2023</v>
      </c>
      <c r="B4" s="29">
        <v>2568276</v>
      </c>
      <c r="C4" s="29">
        <v>409754</v>
      </c>
      <c r="D4" s="29">
        <v>10958</v>
      </c>
      <c r="E4" s="29">
        <v>228860</v>
      </c>
      <c r="F4" s="29">
        <v>906</v>
      </c>
      <c r="G4" s="29">
        <v>1030</v>
      </c>
    </row>
    <row r="5" spans="1:8" ht="14.5" x14ac:dyDescent="0.35">
      <c r="A5" s="30">
        <v>2022</v>
      </c>
      <c r="B5" s="9">
        <v>2668928</v>
      </c>
      <c r="C5" s="9">
        <v>400216</v>
      </c>
      <c r="D5" s="9">
        <v>11474</v>
      </c>
      <c r="E5" s="9">
        <v>228822</v>
      </c>
      <c r="F5" s="9">
        <v>1058</v>
      </c>
      <c r="G5" s="9">
        <v>1043</v>
      </c>
    </row>
    <row r="6" spans="1:8" ht="14.5" x14ac:dyDescent="0.35">
      <c r="A6" s="30">
        <v>2021</v>
      </c>
      <c r="B6" s="9">
        <v>2647847</v>
      </c>
      <c r="C6" s="9">
        <v>399962</v>
      </c>
      <c r="D6" s="9">
        <v>11499</v>
      </c>
      <c r="E6" s="9">
        <v>230120</v>
      </c>
      <c r="F6" s="9">
        <v>687</v>
      </c>
      <c r="G6" s="9">
        <v>1036</v>
      </c>
    </row>
    <row r="7" spans="1:8" ht="14.5" x14ac:dyDescent="0.35">
      <c r="A7" s="30">
        <v>2020</v>
      </c>
      <c r="B7" s="9">
        <v>2617581</v>
      </c>
      <c r="C7" s="9">
        <v>420198</v>
      </c>
      <c r="D7" s="9">
        <v>13468</v>
      </c>
      <c r="E7" s="9">
        <v>240517</v>
      </c>
      <c r="F7" s="9">
        <v>779</v>
      </c>
      <c r="G7" s="9">
        <v>1413</v>
      </c>
    </row>
    <row r="8" spans="1:8" ht="14.5" x14ac:dyDescent="0.35">
      <c r="A8" s="30">
        <v>2019</v>
      </c>
      <c r="B8" s="9">
        <v>2568189</v>
      </c>
      <c r="C8" s="9">
        <v>417043</v>
      </c>
      <c r="D8" s="9">
        <v>14891</v>
      </c>
      <c r="E8" s="9">
        <v>251708</v>
      </c>
      <c r="F8" s="9">
        <v>1198</v>
      </c>
      <c r="G8" s="9">
        <v>1712</v>
      </c>
    </row>
    <row r="9" spans="1:8" ht="14.5" x14ac:dyDescent="0.35">
      <c r="A9" s="30">
        <v>2018</v>
      </c>
      <c r="B9" s="9">
        <v>2640842</v>
      </c>
      <c r="C9" s="9">
        <v>409407</v>
      </c>
      <c r="D9" s="9">
        <v>15460</v>
      </c>
      <c r="E9" s="9">
        <v>280955</v>
      </c>
      <c r="F9" s="9">
        <v>1140</v>
      </c>
      <c r="G9" s="9">
        <v>1982</v>
      </c>
    </row>
    <row r="10" spans="1:8" ht="14.5" x14ac:dyDescent="0.35">
      <c r="A10" s="30">
        <v>2017</v>
      </c>
      <c r="B10" s="9">
        <v>2573461</v>
      </c>
      <c r="C10" s="9">
        <v>390996</v>
      </c>
      <c r="D10" s="9">
        <v>14399</v>
      </c>
      <c r="E10" s="9">
        <v>262396</v>
      </c>
      <c r="F10" s="9">
        <v>982</v>
      </c>
      <c r="G10" s="9">
        <v>2134</v>
      </c>
    </row>
    <row r="11" spans="1:8" ht="14.5" x14ac:dyDescent="0.35">
      <c r="A11" s="30">
        <v>2016</v>
      </c>
      <c r="B11" s="9">
        <v>2526661</v>
      </c>
      <c r="C11" s="9">
        <v>394932</v>
      </c>
      <c r="D11" s="9">
        <v>16256</v>
      </c>
      <c r="E11" s="9">
        <v>251448</v>
      </c>
      <c r="F11" s="9">
        <v>1138</v>
      </c>
      <c r="G11" s="9">
        <v>2488</v>
      </c>
    </row>
    <row r="12" spans="1:8" ht="14.5" x14ac:dyDescent="0.35">
      <c r="A12" s="30">
        <v>2015</v>
      </c>
      <c r="B12" s="9">
        <v>2554885</v>
      </c>
      <c r="C12" s="9">
        <v>406628</v>
      </c>
      <c r="D12" s="9">
        <v>21889</v>
      </c>
      <c r="E12" s="9">
        <v>256402</v>
      </c>
      <c r="F12" s="9">
        <v>1166</v>
      </c>
      <c r="G12" s="9">
        <v>2862</v>
      </c>
    </row>
    <row r="13" spans="1:8" ht="14.5" x14ac:dyDescent="0.35">
      <c r="A13" s="30">
        <v>2014</v>
      </c>
      <c r="B13" s="9">
        <v>2567911</v>
      </c>
      <c r="C13" s="9">
        <v>406088</v>
      </c>
      <c r="D13" s="9">
        <v>25739</v>
      </c>
      <c r="E13" s="9">
        <v>257808</v>
      </c>
      <c r="F13" s="9">
        <v>875</v>
      </c>
      <c r="G13" s="9">
        <v>3646</v>
      </c>
    </row>
    <row r="14" spans="1:8" ht="14.5" x14ac:dyDescent="0.35">
      <c r="A14" s="30">
        <v>2013</v>
      </c>
      <c r="B14" s="9">
        <v>2555848</v>
      </c>
      <c r="C14" s="9">
        <v>391347</v>
      </c>
      <c r="D14" s="9">
        <v>27091</v>
      </c>
      <c r="E14" s="9">
        <v>253097</v>
      </c>
      <c r="F14" s="9">
        <v>996</v>
      </c>
      <c r="G14" s="9">
        <v>4012</v>
      </c>
    </row>
    <row r="15" spans="1:8" ht="14.5" x14ac:dyDescent="0.35">
      <c r="A15" s="30">
        <v>2012</v>
      </c>
      <c r="B15" s="9">
        <v>2591862</v>
      </c>
      <c r="C15" s="9">
        <v>391826</v>
      </c>
      <c r="D15" s="9">
        <v>29133</v>
      </c>
      <c r="E15" s="9">
        <v>260521</v>
      </c>
      <c r="F15" s="9">
        <v>898</v>
      </c>
      <c r="G15" s="9">
        <v>4359</v>
      </c>
    </row>
    <row r="16" spans="1:8" ht="14.5" x14ac:dyDescent="0.35">
      <c r="A16" s="30">
        <v>2011</v>
      </c>
      <c r="B16" s="9">
        <v>2854837</v>
      </c>
      <c r="C16" s="9">
        <v>430061</v>
      </c>
      <c r="D16" s="9">
        <v>27188</v>
      </c>
      <c r="E16" s="9">
        <v>261993</v>
      </c>
      <c r="F16" s="9">
        <v>738</v>
      </c>
      <c r="G16" s="9">
        <v>4507</v>
      </c>
    </row>
    <row r="17" spans="1:7" ht="14.5" x14ac:dyDescent="0.35">
      <c r="A17" s="30">
        <v>2010</v>
      </c>
      <c r="B17" s="9">
        <v>2946689</v>
      </c>
      <c r="C17" s="9">
        <v>425664</v>
      </c>
      <c r="D17" s="9">
        <v>26655</v>
      </c>
      <c r="E17" s="9">
        <v>254909</v>
      </c>
      <c r="F17" s="9">
        <v>490</v>
      </c>
      <c r="G17" s="9">
        <v>3969</v>
      </c>
    </row>
    <row r="18" spans="1:7" ht="14.5" x14ac:dyDescent="0.35">
      <c r="A18" s="30">
        <v>2009</v>
      </c>
      <c r="B18" s="9">
        <v>2956412</v>
      </c>
      <c r="C18" s="9">
        <v>429526</v>
      </c>
      <c r="D18" s="9">
        <v>29425</v>
      </c>
      <c r="E18" s="9">
        <v>255072</v>
      </c>
      <c r="F18" s="9">
        <v>782</v>
      </c>
      <c r="G18" s="9">
        <v>3814</v>
      </c>
    </row>
    <row r="19" spans="1:7" ht="14.5" x14ac:dyDescent="0.35">
      <c r="A19" s="30">
        <v>2008</v>
      </c>
      <c r="B19" s="9">
        <v>3072441</v>
      </c>
      <c r="C19" s="9">
        <v>401597</v>
      </c>
      <c r="D19" s="9">
        <v>28661</v>
      </c>
      <c r="E19" s="9">
        <v>235031</v>
      </c>
      <c r="F19" s="9">
        <v>741</v>
      </c>
      <c r="G19" s="9">
        <v>3496</v>
      </c>
    </row>
    <row r="20" spans="1:7" ht="14.5" x14ac:dyDescent="0.35">
      <c r="A20" s="30">
        <v>2007</v>
      </c>
      <c r="B20" s="9">
        <v>3003777</v>
      </c>
      <c r="C20" s="9">
        <v>419408</v>
      </c>
      <c r="D20" s="9">
        <v>30124</v>
      </c>
      <c r="E20" s="9">
        <v>230975</v>
      </c>
      <c r="F20" s="9">
        <v>515</v>
      </c>
      <c r="G20" s="9">
        <v>2995</v>
      </c>
    </row>
    <row r="21" spans="1:7" ht="14.5" x14ac:dyDescent="0.35">
      <c r="A21" s="30">
        <v>2006</v>
      </c>
      <c r="B21" s="9">
        <v>3022036</v>
      </c>
      <c r="C21" s="9">
        <v>431679</v>
      </c>
      <c r="D21" s="9">
        <v>32425</v>
      </c>
      <c r="E21" s="9">
        <v>212854</v>
      </c>
      <c r="F21" s="9">
        <v>581</v>
      </c>
      <c r="G21" s="9">
        <v>3021</v>
      </c>
    </row>
    <row r="22" spans="1:7" ht="14.5" x14ac:dyDescent="0.35">
      <c r="A22" s="30">
        <v>2005</v>
      </c>
      <c r="B22" s="9">
        <v>3159941</v>
      </c>
      <c r="C22" s="9">
        <v>433044</v>
      </c>
      <c r="D22" s="9">
        <v>33036</v>
      </c>
      <c r="E22" s="9">
        <v>205983</v>
      </c>
      <c r="F22" s="9">
        <v>247</v>
      </c>
      <c r="G22" s="9">
        <v>3521</v>
      </c>
    </row>
    <row r="23" spans="1:7" ht="14.5" x14ac:dyDescent="0.35">
      <c r="A23" s="30">
        <v>2004</v>
      </c>
      <c r="B23" s="9">
        <v>3364833</v>
      </c>
      <c r="C23" s="9">
        <v>458016</v>
      </c>
      <c r="D23" s="9">
        <v>33868</v>
      </c>
      <c r="E23" s="9">
        <v>193241</v>
      </c>
      <c r="F23" s="9">
        <v>251</v>
      </c>
      <c r="G23" s="9">
        <v>5042</v>
      </c>
    </row>
    <row r="24" spans="1:7" ht="14.5" x14ac:dyDescent="0.35">
      <c r="A24" s="30">
        <v>2003</v>
      </c>
      <c r="B24" s="9">
        <v>3304939</v>
      </c>
      <c r="C24" s="9">
        <v>454222</v>
      </c>
      <c r="D24" s="9">
        <v>31536</v>
      </c>
      <c r="E24" s="9">
        <v>192432</v>
      </c>
      <c r="F24" s="9">
        <v>298</v>
      </c>
      <c r="G24" s="9">
        <v>5349</v>
      </c>
    </row>
    <row r="25" spans="1:7" ht="14.5" x14ac:dyDescent="0.35">
      <c r="A25" s="30">
        <v>2002</v>
      </c>
      <c r="B25" s="9">
        <v>3282338</v>
      </c>
      <c r="C25" s="9">
        <v>472928</v>
      </c>
      <c r="D25" s="9">
        <v>33831</v>
      </c>
      <c r="E25" s="9">
        <v>197278</v>
      </c>
      <c r="F25" s="9">
        <v>489</v>
      </c>
      <c r="G25" s="9">
        <v>5454</v>
      </c>
    </row>
    <row r="26" spans="1:7" ht="14.5" x14ac:dyDescent="0.35">
      <c r="A26" s="30">
        <v>2001</v>
      </c>
      <c r="B26" s="9">
        <v>3197296</v>
      </c>
      <c r="C26" s="9">
        <v>464032</v>
      </c>
      <c r="D26" s="9">
        <v>34290</v>
      </c>
      <c r="E26" s="9">
        <v>197343</v>
      </c>
      <c r="F26" s="9">
        <v>405</v>
      </c>
      <c r="G26" s="9">
        <v>5173</v>
      </c>
    </row>
    <row r="27" spans="1:7" ht="15" thickBot="1" x14ac:dyDescent="0.4">
      <c r="A27" s="31">
        <v>2000</v>
      </c>
      <c r="B27" s="32">
        <v>3256929</v>
      </c>
      <c r="C27" s="32">
        <v>490169</v>
      </c>
      <c r="D27" s="32">
        <v>39068</v>
      </c>
      <c r="E27" s="32">
        <v>203836</v>
      </c>
      <c r="F27" s="32">
        <v>391</v>
      </c>
      <c r="G27" s="32">
        <v>5448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Gris</vt:lpstr>
      <vt:lpstr>Storboskap</vt:lpstr>
      <vt:lpstr>Kalv</vt:lpstr>
      <vt:lpstr>Får och lamm</vt:lpstr>
      <vt:lpstr>Häst</vt:lpstr>
      <vt:lpstr>Årshistorik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Kvartalsstatistik för godkänd slakt kvartal 3 år 2025</dc:title>
  <dc:creator>Jordbruksverket</dc:creator>
  <cp:keywords>Storboskap, Kalv, Gris, Får och lamm, Häst, Årshistorik,</cp:keywords>
  <cp:lastModifiedBy>Johanna Granlund</cp:lastModifiedBy>
  <dcterms:created xsi:type="dcterms:W3CDTF">2025-10-20T13:30:03Z</dcterms:created>
  <dcterms:modified xsi:type="dcterms:W3CDTF">2025-10-20T14:25:46Z</dcterms:modified>
</cp:coreProperties>
</file>